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firstSheet="3" activeTab="3"/>
  </bookViews>
  <sheets>
    <sheet name="Stock Exchange format Dec 08 " sheetId="1" state="hidden" r:id="rId1"/>
    <sheet name="Stock Exchange format Sept 08" sheetId="2" state="hidden" r:id="rId2"/>
    <sheet name="GTL DEC 07 VS DEC 08." sheetId="3" state="hidden" r:id="rId3"/>
    <sheet name="Stock Exchange Format Mar,09" sheetId="4" r:id="rId4"/>
    <sheet name="GTL DEC 07 VS DEC 08.." sheetId="5" state="hidden" r:id="rId5"/>
    <sheet name="GMD DEC 07 VS DEC 08" sheetId="6" state="hidden" r:id="rId6"/>
    <sheet name="FCKD DEC 07 VS DEC 08" sheetId="7" state="hidden" r:id="rId7"/>
    <sheet name="GTL 08-09 vs 07-08-Net  " sheetId="8" state="hidden" r:id="rId8"/>
    <sheet name="GTL 08-09 vs 07-08-Gross" sheetId="9" state="hidden" r:id="rId9"/>
    <sheet name="GMD 08-09 vs 07-08" sheetId="10" state="hidden" r:id="rId10"/>
    <sheet name="FCKD 08-09 vs 07-089 " sheetId="11" state="hidden" r:id="rId11"/>
    <sheet name="other Expns_FINANCIALS" sheetId="12" state="hidden" r:id="rId12"/>
    <sheet name="other Expns" sheetId="13" state="hidden" r:id="rId13"/>
    <sheet name="Other Expn-details" sheetId="14" state="hidden" r:id="rId14"/>
    <sheet name="GTL SEPT 08 " sheetId="15" state="hidden" r:id="rId15"/>
    <sheet name="P and L-June 08" sheetId="16" state="hidden" r:id="rId16"/>
    <sheet name="P and L-Sept 08 " sheetId="17" state="hidden" r:id="rId17"/>
  </sheets>
  <externalReferences>
    <externalReference r:id="rId20"/>
    <externalReference r:id="rId21"/>
    <externalReference r:id="rId22"/>
    <externalReference r:id="rId23"/>
    <externalReference r:id="rId24"/>
    <externalReference r:id="rId25"/>
    <externalReference r:id="rId26"/>
  </externalReferences>
  <definedNames>
    <definedName name="\0" localSheetId="10">#REF!</definedName>
    <definedName name="\0" localSheetId="9">#REF!</definedName>
    <definedName name="\0" localSheetId="8">#REF!</definedName>
    <definedName name="\0" localSheetId="7">#REF!</definedName>
    <definedName name="\0">#REF!</definedName>
    <definedName name="\d" localSheetId="10">#REF!</definedName>
    <definedName name="\d" localSheetId="9">#REF!</definedName>
    <definedName name="\d" localSheetId="8">#REF!</definedName>
    <definedName name="\d" localSheetId="7">#REF!</definedName>
    <definedName name="\d">#REF!</definedName>
    <definedName name="\m" localSheetId="10">#REF!</definedName>
    <definedName name="\m" localSheetId="9">#REF!</definedName>
    <definedName name="\m" localSheetId="8">#REF!</definedName>
    <definedName name="\m" localSheetId="7">#REF!</definedName>
    <definedName name="\m">#REF!</definedName>
    <definedName name="_M" localSheetId="10">#REF!</definedName>
    <definedName name="_M" localSheetId="9">#REF!</definedName>
    <definedName name="_M" localSheetId="8">#REF!</definedName>
    <definedName name="_M" localSheetId="7">#REF!</definedName>
    <definedName name="_M">#REF!</definedName>
    <definedName name="_Regression_Int">1</definedName>
    <definedName name="ACCEPT" localSheetId="10">#REF!</definedName>
    <definedName name="ACCEPT" localSheetId="9">#REF!</definedName>
    <definedName name="ACCEPT" localSheetId="8">#REF!</definedName>
    <definedName name="ACCEPT" localSheetId="7">#REF!</definedName>
    <definedName name="ACCEPT">#REF!</definedName>
    <definedName name="aopsum0607" localSheetId="10">#REF!</definedName>
    <definedName name="aopsum0607" localSheetId="9">#REF!</definedName>
    <definedName name="aopsum0607" localSheetId="8">#REF!</definedName>
    <definedName name="aopsum0607" localSheetId="7">#REF!</definedName>
    <definedName name="aopsum0607" localSheetId="13">#REF!</definedName>
    <definedName name="aopsum0607">#REF!</definedName>
    <definedName name="AS2DocOpenMode" localSheetId="10" hidden="1">"AS2DocumentEdit"</definedName>
    <definedName name="AS2DocOpenMode" localSheetId="9" hidden="1">"AS2DocumentEdit"</definedName>
    <definedName name="AS2DocOpenMode" localSheetId="8" hidden="1">"AS2DocumentEdit"</definedName>
    <definedName name="AS2DocOpenMode" localSheetId="7" hidden="1">"AS2DocumentEdit"</definedName>
    <definedName name="AS2DocOpenMode" localSheetId="2" hidden="1">"AS2DocumentEdit"</definedName>
    <definedName name="AS2DocOpenMode" localSheetId="4" hidden="1">"AS2DocumentEdit"</definedName>
    <definedName name="AS2DocOpenMode" localSheetId="14" hidden="1">"AS2DocumentEdit"</definedName>
    <definedName name="AS2DocOpenMode" localSheetId="15" hidden="1">"AS2DocumentEdit"</definedName>
    <definedName name="AS2DocOpenMode" localSheetId="16" hidden="1">"AS2DocumentEdit"</definedName>
    <definedName name="AS2DocOpenMode" hidden="1">"AS2DocumentBrowse"</definedName>
    <definedName name="AY">'[4]Cap'!$H$2</definedName>
    <definedName name="B">'[2]#REF'!$B:$C</definedName>
    <definedName name="BUDGET">#REF!</definedName>
    <definedName name="DEPR_PARENT">#REF!</definedName>
    <definedName name="DIFF._ON_EXPORTS">#REF!</definedName>
    <definedName name="DUMMY" localSheetId="10">#REF!</definedName>
    <definedName name="DUMMY" localSheetId="9">#REF!</definedName>
    <definedName name="DUMMY" localSheetId="8">#REF!</definedName>
    <definedName name="DUMMY" localSheetId="7">#REF!</definedName>
    <definedName name="DUMMY">#REF!</definedName>
    <definedName name="FY">'[4]Cap'!$H$3</definedName>
    <definedName name="LPROF" localSheetId="10">#REF!</definedName>
    <definedName name="LPROF" localSheetId="9">#REF!</definedName>
    <definedName name="LPROF" localSheetId="8">#REF!</definedName>
    <definedName name="LPROF" localSheetId="7">#REF!</definedName>
    <definedName name="LPROF">#REF!</definedName>
    <definedName name="MACRO" localSheetId="10">#REF!</definedName>
    <definedName name="MACRO" localSheetId="9">#REF!</definedName>
    <definedName name="MACRO" localSheetId="8">#REF!</definedName>
    <definedName name="MACRO" localSheetId="7">#REF!</definedName>
    <definedName name="MACRO">#REF!</definedName>
    <definedName name="MENU" localSheetId="10">#REF!</definedName>
    <definedName name="MENU" localSheetId="9">#REF!</definedName>
    <definedName name="MENU" localSheetId="8">#REF!</definedName>
    <definedName name="MENU" localSheetId="7">#REF!</definedName>
    <definedName name="MENU">#REF!</definedName>
    <definedName name="MN" localSheetId="10">#REF!</definedName>
    <definedName name="MN" localSheetId="9">#REF!</definedName>
    <definedName name="MN" localSheetId="8">#REF!</definedName>
    <definedName name="MN" localSheetId="7">#REF!</definedName>
    <definedName name="MN">#REF!</definedName>
    <definedName name="Name">'[4]Cap'!$H$1</definedName>
    <definedName name="_xlnm.Print_Area" localSheetId="6">'FCKD DEC 07 VS DEC 08'!$B$1:$S$74</definedName>
    <definedName name="_xlnm.Print_Area" localSheetId="14">'GTL SEPT 08 '!$B$1:$J$89</definedName>
    <definedName name="_xlnm.Print_Area" localSheetId="13">'Other Expn-details'!$A$2:$C$45</definedName>
    <definedName name="_xlnm.Print_Area" localSheetId="12">'other Expns'!$B$2:$H$32</definedName>
    <definedName name="_xlnm.Print_Area" localSheetId="11">'other Expns_FINANCIALS'!$B$4:$H$29</definedName>
    <definedName name="_xlnm.Print_Area" localSheetId="16">'P and L-Sept 08 '!$A$1:$F$28</definedName>
    <definedName name="_xlnm.Print_Area" localSheetId="0">'Stock Exchange format Dec 08 '!$A$9:$N$73</definedName>
    <definedName name="_xlnm.Print_Area" localSheetId="3">'Stock Exchange Format Mar,09'!$A$9:$Q$91</definedName>
    <definedName name="_xlnm.Print_Area" localSheetId="1">'Stock Exchange format Sept 08'!$B$9:$J$79</definedName>
    <definedName name="PRINT_AREA_MI" localSheetId="10">#REF!</definedName>
    <definedName name="PRINT_AREA_MI" localSheetId="9">#REF!</definedName>
    <definedName name="PRINT_AREA_MI" localSheetId="8">#REF!</definedName>
    <definedName name="PRINT_AREA_MI" localSheetId="7">#REF!</definedName>
    <definedName name="PRINT_AREA_MI" localSheetId="2">#REF!</definedName>
    <definedName name="PRINT_AREA_MI" localSheetId="4">#REF!</definedName>
    <definedName name="PRINT_AREA_MI" localSheetId="14">#REF!</definedName>
    <definedName name="PRINT_AREA_MI" localSheetId="15">#REF!</definedName>
    <definedName name="PRINT_AREA_MI" localSheetId="16">#REF!</definedName>
    <definedName name="Print_Area_MI">#REF!</definedName>
    <definedName name="_xlnm.Print_Titles" localSheetId="10">'FCKD 08-09 vs 07-089 '!$B:$B,'FCKD 08-09 vs 07-089 '!$1:$1</definedName>
    <definedName name="_xlnm.Print_Titles" localSheetId="6">'FCKD DEC 07 VS DEC 08'!$B:$B,'FCKD DEC 07 VS DEC 08'!$1:$1</definedName>
    <definedName name="_xlnm.Print_Titles" localSheetId="9">'GMD 08-09 vs 07-08'!$B:$B,'GMD 08-09 vs 07-08'!$1:$1</definedName>
    <definedName name="_xlnm.Print_Titles" localSheetId="5">'GMD DEC 07 VS DEC 08'!$B:$B,'GMD DEC 07 VS DEC 08'!$1:$1</definedName>
    <definedName name="_xlnm.Print_Titles" localSheetId="8">'GTL 08-09 vs 07-08-Gross'!$B:$B,'GTL 08-09 vs 07-08-Gross'!$1:$1</definedName>
    <definedName name="_xlnm.Print_Titles" localSheetId="7">'GTL 08-09 vs 07-08-Net  '!$B:$B,'GTL 08-09 vs 07-08-Net  '!$1:$1</definedName>
    <definedName name="_xlnm.Print_Titles" localSheetId="14">'GTL SEPT 08 '!$B:$B,'GTL SEPT 08 '!$1:$1</definedName>
    <definedName name="PRINT_TITLES_MI" localSheetId="10">#REF!</definedName>
    <definedName name="PRINT_TITLES_MI" localSheetId="9">#REF!</definedName>
    <definedName name="PRINT_TITLES_MI" localSheetId="8">#REF!</definedName>
    <definedName name="PRINT_TITLES_MI" localSheetId="7">#REF!</definedName>
    <definedName name="PRINT_TITLES_MI">#REF!</definedName>
    <definedName name="RA10" localSheetId="10">#REF!</definedName>
    <definedName name="RA10" localSheetId="9">#REF!</definedName>
    <definedName name="RA10" localSheetId="8">#REF!</definedName>
    <definedName name="RA10" localSheetId="7">#REF!</definedName>
    <definedName name="RA10">#REF!</definedName>
    <definedName name="RA11" localSheetId="10">#REF!</definedName>
    <definedName name="RA11" localSheetId="9">#REF!</definedName>
    <definedName name="RA11" localSheetId="8">#REF!</definedName>
    <definedName name="RA11" localSheetId="7">#REF!</definedName>
    <definedName name="RA11">#REF!</definedName>
    <definedName name="RA12" localSheetId="10">#REF!</definedName>
    <definedName name="RA12" localSheetId="9">#REF!</definedName>
    <definedName name="RA12" localSheetId="8">#REF!</definedName>
    <definedName name="RA12" localSheetId="7">#REF!</definedName>
    <definedName name="RA12">#REF!</definedName>
    <definedName name="RA13" localSheetId="10">#REF!</definedName>
    <definedName name="RA13" localSheetId="9">#REF!</definedName>
    <definedName name="RA13" localSheetId="8">#REF!</definedName>
    <definedName name="RA13" localSheetId="7">#REF!</definedName>
    <definedName name="RA13">#REF!</definedName>
    <definedName name="RA14" localSheetId="10">#REF!</definedName>
    <definedName name="RA14" localSheetId="9">#REF!</definedName>
    <definedName name="RA14" localSheetId="8">#REF!</definedName>
    <definedName name="RA14" localSheetId="7">#REF!</definedName>
    <definedName name="RA14">#REF!</definedName>
    <definedName name="RA15" localSheetId="10">#REF!</definedName>
    <definedName name="RA15" localSheetId="9">#REF!</definedName>
    <definedName name="RA15" localSheetId="8">#REF!</definedName>
    <definedName name="RA15" localSheetId="7">#REF!</definedName>
    <definedName name="RA15">#REF!</definedName>
    <definedName name="RA16" localSheetId="10">#REF!</definedName>
    <definedName name="RA16" localSheetId="9">#REF!</definedName>
    <definedName name="RA16" localSheetId="8">#REF!</definedName>
    <definedName name="RA16" localSheetId="7">#REF!</definedName>
    <definedName name="RA16">#REF!</definedName>
    <definedName name="RA17" localSheetId="10">#REF!</definedName>
    <definedName name="RA17" localSheetId="9">#REF!</definedName>
    <definedName name="RA17" localSheetId="8">#REF!</definedName>
    <definedName name="RA17" localSheetId="7">#REF!</definedName>
    <definedName name="RA17">#REF!</definedName>
    <definedName name="RA18" localSheetId="10">#REF!</definedName>
    <definedName name="RA18" localSheetId="9">#REF!</definedName>
    <definedName name="RA18" localSheetId="8">#REF!</definedName>
    <definedName name="RA18" localSheetId="7">#REF!</definedName>
    <definedName name="RA18">#REF!</definedName>
    <definedName name="RA2" localSheetId="10">#REF!</definedName>
    <definedName name="RA2" localSheetId="9">#REF!</definedName>
    <definedName name="RA2" localSheetId="8">#REF!</definedName>
    <definedName name="RA2" localSheetId="7">#REF!</definedName>
    <definedName name="RA2">#REF!</definedName>
    <definedName name="RA3" localSheetId="10">#REF!</definedName>
    <definedName name="RA3" localSheetId="9">#REF!</definedName>
    <definedName name="RA3" localSheetId="8">#REF!</definedName>
    <definedName name="RA3" localSheetId="7">#REF!</definedName>
    <definedName name="RA3">#REF!</definedName>
    <definedName name="RA4" localSheetId="10">#REF!</definedName>
    <definedName name="RA4" localSheetId="9">#REF!</definedName>
    <definedName name="RA4" localSheetId="8">#REF!</definedName>
    <definedName name="RA4" localSheetId="7">#REF!</definedName>
    <definedName name="RA4">#REF!</definedName>
    <definedName name="RA4A" localSheetId="10">#REF!</definedName>
    <definedName name="RA4A" localSheetId="9">#REF!</definedName>
    <definedName name="RA4A" localSheetId="8">#REF!</definedName>
    <definedName name="RA4A" localSheetId="7">#REF!</definedName>
    <definedName name="RA4A">#REF!</definedName>
    <definedName name="RA5" localSheetId="10">#REF!</definedName>
    <definedName name="RA5" localSheetId="9">#REF!</definedName>
    <definedName name="RA5" localSheetId="8">#REF!</definedName>
    <definedName name="RA5" localSheetId="7">#REF!</definedName>
    <definedName name="RA5">#REF!</definedName>
    <definedName name="RA6" localSheetId="10">#REF!</definedName>
    <definedName name="RA6" localSheetId="9">#REF!</definedName>
    <definedName name="RA6" localSheetId="8">#REF!</definedName>
    <definedName name="RA6" localSheetId="7">#REF!</definedName>
    <definedName name="RA6">#REF!</definedName>
    <definedName name="RA7" localSheetId="10">#REF!</definedName>
    <definedName name="RA7" localSheetId="9">#REF!</definedName>
    <definedName name="RA7" localSheetId="8">#REF!</definedName>
    <definedName name="RA7" localSheetId="7">#REF!</definedName>
    <definedName name="RA7">#REF!</definedName>
    <definedName name="RA8" localSheetId="10">#REF!</definedName>
    <definedName name="RA8" localSheetId="9">#REF!</definedName>
    <definedName name="RA8" localSheetId="8">#REF!</definedName>
    <definedName name="RA8" localSheetId="7">#REF!</definedName>
    <definedName name="RA8">#REF!</definedName>
    <definedName name="RA9" localSheetId="10">#REF!</definedName>
    <definedName name="RA9" localSheetId="9">#REF!</definedName>
    <definedName name="RA9" localSheetId="8">#REF!</definedName>
    <definedName name="RA9" localSheetId="7">#REF!</definedName>
    <definedName name="RA9">#REF!</definedName>
    <definedName name="REPORT" localSheetId="10">#REF!</definedName>
    <definedName name="REPORT" localSheetId="9">#REF!</definedName>
    <definedName name="REPORT" localSheetId="8">#REF!</definedName>
    <definedName name="REPORT" localSheetId="7">#REF!</definedName>
    <definedName name="REPORT">#REF!</definedName>
    <definedName name="TextRefCopy14">'[1]Cashflow working'!$B$194</definedName>
    <definedName name="TextRefCopy20">'[1]Cashflow working'!$B$63</definedName>
    <definedName name="TextRefCopy36">'[1]Cashflow working'!$B$73</definedName>
    <definedName name="TextRefCopy37">'[1]Cashflow working'!$B$85</definedName>
    <definedName name="TextRefCopy38">'[1]Cashflow working'!$E$183</definedName>
    <definedName name="TextRefCopy40">'[1]Cashflow working'!$B$166</definedName>
    <definedName name="TextRefCopy46">'[1]Cashflow working'!$B$166</definedName>
    <definedName name="TextRefCopy49">'[1]Cashflow working'!$B$85</definedName>
    <definedName name="TextRefCopy52">'[1]Cashflow working'!$B$154</definedName>
    <definedName name="TextRefCopy65">'[1]Cashflow working'!$B$223</definedName>
    <definedName name="TextRefCopy67">'[1]Cashflow working'!$E$104</definedName>
    <definedName name="TextRefCopy68">'[1]Cashflow working'!$B$236</definedName>
    <definedName name="TextRefCopy69">'[1]Cashflow working'!$B$249</definedName>
    <definedName name="TextRefCopy70">'[1]Cashflow working'!$B$281</definedName>
    <definedName name="TextRefCopy71">'[1]Cashflow working'!$E$281</definedName>
    <definedName name="TextRefCopy72">'[1]Cashflow working'!$E$281</definedName>
    <definedName name="TextRefCopy73">'[1]Cashflow working'!$B$260</definedName>
    <definedName name="TextRefCopy74">'[1]Cashflow working'!$B$97</definedName>
    <definedName name="TextRefCopy79">'[1]Cashflow working'!$B$104</definedName>
    <definedName name="TextRefCopy80">'[1]Cashflow working'!$B$289</definedName>
    <definedName name="TextRefCopy81">'[1]Cashflow working'!$E$286</definedName>
    <definedName name="TextRefCopy9">'[1]Cashflow working'!$B$174</definedName>
    <definedName name="TextRefCopy94">'[1]Cashflow working'!$H$85</definedName>
    <definedName name="TextRefCopyRangeCount" hidden="1">121</definedName>
    <definedName name="YR" localSheetId="10">#REF!</definedName>
    <definedName name="YR" localSheetId="9">#REF!</definedName>
    <definedName name="YR" localSheetId="8">#REF!</definedName>
    <definedName name="YR" localSheetId="7">#REF!</definedName>
    <definedName name="YR">#REF!</definedName>
    <definedName name="Z_C246E0A0_F603_11D9_8D9B_0011092574E4_.wvu.Rows" hidden="1">#REF!,#REF!,#REF!,#REF!,#REF!</definedName>
  </definedNames>
  <calcPr fullCalcOnLoad="1"/>
</workbook>
</file>

<file path=xl/sharedStrings.xml><?xml version="1.0" encoding="utf-8"?>
<sst xmlns="http://schemas.openxmlformats.org/spreadsheetml/2006/main" count="931" uniqueCount="259">
  <si>
    <t>GOKAK TEXTILES LTD</t>
  </si>
  <si>
    <t>Registered Office: 1st Floor, 45/3 gopalkrishna Complex Residency Cross Road Bangalore - 560052</t>
  </si>
  <si>
    <t>Secretary</t>
  </si>
  <si>
    <t>Bombay Stock Exchange Ltd</t>
  </si>
  <si>
    <t>Phiroze Jeejeebhoy Towers</t>
  </si>
  <si>
    <t xml:space="preserve">Dalal Street </t>
  </si>
  <si>
    <t>Mumbai -400001</t>
  </si>
  <si>
    <t>Dear Sirs,</t>
  </si>
  <si>
    <t xml:space="preserve">Compliance with the requirements of Clause 41 of the Listing Agreement </t>
  </si>
  <si>
    <t>Rs in Lacs</t>
  </si>
  <si>
    <t>Year</t>
  </si>
  <si>
    <t>Sr No</t>
  </si>
  <si>
    <t>PARTICULARS</t>
  </si>
  <si>
    <t>ended</t>
  </si>
  <si>
    <t>30.06.2008</t>
  </si>
  <si>
    <t>30.06.2007</t>
  </si>
  <si>
    <t>31.03.2008</t>
  </si>
  <si>
    <t>Reviewed</t>
  </si>
  <si>
    <t>Not Reviewed</t>
  </si>
  <si>
    <t>Audited</t>
  </si>
  <si>
    <t>Net Sales/Income From Operations</t>
  </si>
  <si>
    <t xml:space="preserve">Other Income </t>
  </si>
  <si>
    <t>Total Income ( 1+2 )</t>
  </si>
  <si>
    <t>Total Expenditure</t>
  </si>
  <si>
    <t>a) Increase(-)/Decrease (+) in Stock and work-in-Process</t>
  </si>
  <si>
    <t>b) Consumption of Raw Materials</t>
  </si>
  <si>
    <t>c) Purchase of Trading Goods</t>
  </si>
  <si>
    <t>d) Power and Fuel</t>
  </si>
  <si>
    <t>e) Staff Cost</t>
  </si>
  <si>
    <t>f) Depreciation</t>
  </si>
  <si>
    <t xml:space="preserve">g) Other Expenditure </t>
  </si>
  <si>
    <t xml:space="preserve">    Sub Total</t>
  </si>
  <si>
    <t xml:space="preserve">Interest </t>
  </si>
  <si>
    <t>Profit/( Loss ) from ordinary activities before Tax (3-4-5)</t>
  </si>
  <si>
    <t>Less Provision for Taxation</t>
  </si>
  <si>
    <t>Wealth Tax</t>
  </si>
  <si>
    <t>Income-tax-Current</t>
  </si>
  <si>
    <t>Income-tax-Deferred</t>
  </si>
  <si>
    <t>Fringe Benefit Tax</t>
  </si>
  <si>
    <t>Sub total</t>
  </si>
  <si>
    <t>Net Profit/(Loss) ( 6-7 )</t>
  </si>
  <si>
    <t>Paid up Equity Share Capital</t>
  </si>
  <si>
    <t>( Face Value of Rs 10 each)</t>
  </si>
  <si>
    <t>Reserves excluding Revaluation Reserve</t>
  </si>
  <si>
    <t>Basic and Diluted Earnings per share of face value of</t>
  </si>
  <si>
    <t>Rs 10 each</t>
  </si>
  <si>
    <t>Public Shareholding</t>
  </si>
  <si>
    <t xml:space="preserve">            (a) Number of Shares</t>
  </si>
  <si>
    <t xml:space="preserve">            (b) Percentage of Shareholding</t>
  </si>
  <si>
    <t>Notes:</t>
  </si>
  <si>
    <t>( a)</t>
  </si>
  <si>
    <t xml:space="preserve">( b)  </t>
  </si>
  <si>
    <t xml:space="preserve">( c)  </t>
  </si>
  <si>
    <t>The Company operates into one segment only namely Textiles.</t>
  </si>
  <si>
    <t xml:space="preserve">( d)  </t>
  </si>
  <si>
    <t xml:space="preserve">( e)  </t>
  </si>
  <si>
    <t>FOR GOKAK TEXTILES LIMITED</t>
  </si>
  <si>
    <t>H.S.Bhaskar</t>
  </si>
  <si>
    <t>Executive Director</t>
  </si>
  <si>
    <t>Quarter I</t>
  </si>
  <si>
    <t>Quarter II</t>
  </si>
  <si>
    <t>Half Year</t>
  </si>
  <si>
    <t>30.09.2008</t>
  </si>
  <si>
    <t>30.09.2007</t>
  </si>
  <si>
    <t>GOKAK TEXTILES LTD.</t>
  </si>
  <si>
    <t>PROFIT &amp; LOSS ACCOUNT FOR THE QUARTER ENDED 30TH JUNE,2008</t>
  </si>
  <si>
    <t>Rs in Lakhs</t>
  </si>
  <si>
    <t>DESCRIPTION</t>
  </si>
  <si>
    <t>GMD</t>
  </si>
  <si>
    <t>FCKD</t>
  </si>
  <si>
    <t>GTL</t>
  </si>
  <si>
    <t>TOTAL</t>
  </si>
  <si>
    <t>GROSS TURNOVER</t>
  </si>
  <si>
    <t>LESS:COST</t>
  </si>
  <si>
    <t>BALANCE</t>
  </si>
  <si>
    <t>LESS:INTEREST</t>
  </si>
  <si>
    <t>PROFIT BEFORE DEPRECIATION</t>
  </si>
  <si>
    <t>DEPRECIATION</t>
  </si>
  <si>
    <t>PROFIT AFTER DEPRECIATION</t>
  </si>
  <si>
    <t>PROVISION FOR TAXATION</t>
  </si>
  <si>
    <t>Deferred Tax</t>
  </si>
  <si>
    <t>PROFIT/(LOSS) AFTER TAXATION</t>
  </si>
  <si>
    <t>Drs -Exch</t>
  </si>
  <si>
    <t>Rent Prov</t>
  </si>
  <si>
    <t>Stock</t>
  </si>
  <si>
    <t>Comm</t>
  </si>
  <si>
    <t>Sales-Dec</t>
  </si>
  <si>
    <t>PROFIT &amp; LOSS ACCOUNT FOR THE HALF YEAR ENDED 30TH SEPT,2008</t>
  </si>
  <si>
    <t>VRS</t>
  </si>
  <si>
    <t>Admn expns</t>
  </si>
  <si>
    <t>Pursuant to a Scheme of Demerger, Textile division of Forbes and Company Limited (formerly Forbes Gokak Limited ), has been demerged into GOKAK TEXTILES LIMITED (the Company), under the provisions of Section 391 to 394 of the Companies Act, 1956, effective from 1st April 2007. The said scheme of demerger was approved by the shareholders of respective companies and sanctioned by the Bombay High Court and the High Court of Karnataka vide their order dated 4th May 2007 and 13th July 2007 respectively. The equity shares of the company were listed on the Bombay Stock Exchange on 19th March 2008 as such, unaudited results for the half year ended 30th Sept, 2007 were not subject to limited review.</t>
  </si>
  <si>
    <t>The Company has not received any shareholders complaints upto Sept,2008.</t>
  </si>
  <si>
    <t>21st ,October,2008</t>
  </si>
  <si>
    <t>GOKAK MILLS DIVISION.</t>
  </si>
  <si>
    <t>PROFIT AND LOSS ACCOUNT  FOR THE PERIOD ENDED SEPT,07 v/s SEPT,08</t>
  </si>
  <si>
    <t>BUDGET</t>
  </si>
  <si>
    <t>ACTUALS</t>
  </si>
  <si>
    <t>APRIL-07 TO SEPT-07</t>
  </si>
  <si>
    <t>APRIL-08 TO SEPT-08</t>
  </si>
  <si>
    <t>Rs.</t>
  </si>
  <si>
    <t>%</t>
  </si>
  <si>
    <t>In Lakhs</t>
  </si>
  <si>
    <t>SALES</t>
  </si>
  <si>
    <t>TRADING SALES</t>
  </si>
  <si>
    <t>SERVICES AND OTHER INCOME</t>
  </si>
  <si>
    <t>MISCELLANEOUS INCOME</t>
  </si>
  <si>
    <t>PROFIT ON SALE OF FIXED ASSET</t>
  </si>
  <si>
    <t>OTHERS</t>
  </si>
  <si>
    <t>VARIABLE EXPENSES :</t>
  </si>
  <si>
    <t>R.M.CONSUMED</t>
  </si>
  <si>
    <t>PURSHASE YARN</t>
  </si>
  <si>
    <t>TRADING STOCK</t>
  </si>
  <si>
    <t>STOCK ADJUSTMENT</t>
  </si>
  <si>
    <t>DYES &amp; CHEMICALS</t>
  </si>
  <si>
    <t>PACKING MATERIAL</t>
  </si>
  <si>
    <t>STORES &amp; SPARES CONSUMED</t>
  </si>
  <si>
    <t>PROCESSING CHARGES</t>
  </si>
  <si>
    <t>POWER &amp; FUEL</t>
  </si>
  <si>
    <t>REPAIRS &amp; MAINTAINANCE</t>
  </si>
  <si>
    <t>DISTRIBUTION EXPENSES</t>
  </si>
  <si>
    <t>TOTAL VARIABLE EXPENSES</t>
  </si>
  <si>
    <t>CONTRIBUTION</t>
  </si>
  <si>
    <t>FIXED EXPENSES :</t>
  </si>
  <si>
    <t>PAYMENTS TO EMPLOYEES</t>
  </si>
  <si>
    <t>RENT, RATES &amp; TAXES</t>
  </si>
  <si>
    <t>OTHER EXPENSES</t>
  </si>
  <si>
    <t>TOTAL FIXED EXPENSES</t>
  </si>
  <si>
    <t>PROFIT BEFORE DEPRECIATION &amp;</t>
  </si>
  <si>
    <t>INTEREST</t>
  </si>
  <si>
    <t>CASH PROFIT</t>
  </si>
  <si>
    <t>PROFIT BEFORE TAX</t>
  </si>
  <si>
    <t xml:space="preserve">LESS : </t>
  </si>
  <si>
    <t>PROFIT/LOSS AFTER DEPRECIATION</t>
  </si>
  <si>
    <t>AND INTEREST</t>
  </si>
  <si>
    <t>G.V.S.M INTEREST &amp; DEPRECIATION AMOUNTING RS.200 LAKHS NOT CONSIDERED.</t>
  </si>
  <si>
    <t>SALES IN M.T</t>
  </si>
  <si>
    <t>PACKED PRODN IN M.T</t>
  </si>
  <si>
    <t>Inter division Transaction</t>
  </si>
  <si>
    <t>Sales-yarn</t>
  </si>
  <si>
    <t>Trading-yarn</t>
  </si>
  <si>
    <t>Service Income</t>
  </si>
  <si>
    <t>Mills</t>
  </si>
  <si>
    <t>CKL</t>
  </si>
  <si>
    <t>Total</t>
  </si>
  <si>
    <t>Particulars</t>
  </si>
  <si>
    <t>Inter Co</t>
  </si>
  <si>
    <t>Sept,07</t>
  </si>
  <si>
    <t>DETAILS OF OTHER EXPENSES</t>
  </si>
  <si>
    <t>Due to uneconomic cost of power and increasing cost of cotton, the company has rationalised and curtailed</t>
  </si>
  <si>
    <t>production of yarn since March 2008.</t>
  </si>
  <si>
    <t>The above results were taken on records by the Board of Directors of the company at their meeting held on</t>
  </si>
  <si>
    <t>21st October,2008 and are reviewed by the auditors.</t>
  </si>
  <si>
    <t xml:space="preserve">          Compliance with the requirements of Clause 41 of the Listing Agreement </t>
  </si>
  <si>
    <t xml:space="preserve">          Unaudited Financial Results for the Half Year  ended 30th September,2008</t>
  </si>
  <si>
    <t xml:space="preserve">         We set out the unaudited financial results for the half year ended 30th September,2008</t>
  </si>
  <si>
    <t>Sept,08</t>
  </si>
  <si>
    <t>Net Profit/(Loss) For the Period ( 6-7 )</t>
  </si>
  <si>
    <t>gain</t>
  </si>
  <si>
    <t>Chairman</t>
  </si>
  <si>
    <t>Shapoor P. Mistry</t>
  </si>
  <si>
    <t xml:space="preserve">( f)  </t>
  </si>
  <si>
    <t>31.12.2007</t>
  </si>
  <si>
    <t>31.12.2008</t>
  </si>
  <si>
    <t>PROFIT AND LOSS ACCOUNT  FOR THE PERIOD ENDED DEC,07 v/s DEC,08</t>
  </si>
  <si>
    <t>APRIL-07 TO DEC-07</t>
  </si>
  <si>
    <t>APRIL-08 TO DEC-08</t>
  </si>
  <si>
    <t>EXCHANGE FLACTUATION</t>
  </si>
  <si>
    <t>Quarter III</t>
  </si>
  <si>
    <t>Dec,07</t>
  </si>
  <si>
    <t>Dec,08</t>
  </si>
  <si>
    <t>SALES IN PCS</t>
  </si>
  <si>
    <t xml:space="preserve">OTHERS </t>
  </si>
  <si>
    <t>exchange variation</t>
  </si>
  <si>
    <t>APRIL TO SEPT-07</t>
  </si>
  <si>
    <t>PROFIT AND LOSS ACCOUNT FOR THE PERIOD ENDED DEC,07 V/S DEC,08</t>
  </si>
  <si>
    <t>GOKAK TEXTILES LTD. - FORBES CAMPBELL KNITWEAR DIVISION</t>
  </si>
  <si>
    <t>SALES IN MT</t>
  </si>
  <si>
    <t>GOKAK TEXTILES LTD.GOKAK MILLS DIVISION.</t>
  </si>
  <si>
    <t xml:space="preserve">     Unaudited Financial Results for the Quarter and Nine Months  ended 31st December,2008</t>
  </si>
  <si>
    <t xml:space="preserve">     We set out the unaudited financial results for the quarter and nine months ended 31st December,2008</t>
  </si>
  <si>
    <t>Nine Months</t>
  </si>
  <si>
    <t xml:space="preserve">The above results were taken on records by the Board of Directors of the company at their meeting held on 30th January 2009 and are subjected to limited review by the statutory auditors. </t>
  </si>
  <si>
    <t>As per AS-11 the company has recognised  net exchange loss amounting to Rs.202 Lacs under head other expenditure upto nine months ended December 31, 2008 and has recognised net exchange gain of Rs.156 Lacs for the previous nine months ended December 31, 2007 under head other income.</t>
  </si>
  <si>
    <t>30th January, 2009</t>
  </si>
  <si>
    <t>Executive Director and CEO</t>
  </si>
  <si>
    <t>Rs Las</t>
  </si>
  <si>
    <t>Rs Lacs</t>
  </si>
  <si>
    <t>GOKAK TEXTILES LTD. GOKAK MILLS DIVISION.</t>
  </si>
  <si>
    <t>OTHER EXPENSES DETAILS FOR THE PERIOD ENDED DECEMBER,08.</t>
  </si>
  <si>
    <t>SL.NO.</t>
  </si>
  <si>
    <t>AMOUNT</t>
  </si>
  <si>
    <t>RS.</t>
  </si>
  <si>
    <t>01.</t>
  </si>
  <si>
    <t>02.</t>
  </si>
  <si>
    <t>03.</t>
  </si>
  <si>
    <t>04.</t>
  </si>
  <si>
    <t>05.</t>
  </si>
  <si>
    <t>06.</t>
  </si>
  <si>
    <t>07.</t>
  </si>
  <si>
    <t>SECURITY CHARGES</t>
  </si>
  <si>
    <t>08.</t>
  </si>
  <si>
    <t>09.</t>
  </si>
  <si>
    <t>10.</t>
  </si>
  <si>
    <t>11.</t>
  </si>
  <si>
    <t>12.</t>
  </si>
  <si>
    <t>14.</t>
  </si>
  <si>
    <t>GRAND TOTAL</t>
  </si>
  <si>
    <t>Exchange Loss</t>
  </si>
  <si>
    <t>fck</t>
  </si>
  <si>
    <t>Due to  increasing cost of cotton and Furnace oil  , the company has rationalised and curtailed production of yarn during the period under review.The company is in the process of restructure loan arrangements.The company is in the precess of selling surplus machinery.</t>
  </si>
  <si>
    <t>The Company has not received any shareholders complaints during the quarter ended December,2008 and no complaints outstanding.</t>
  </si>
  <si>
    <t>Pursuant to a Scheme of Demerger,extile division of Forbes &amp; Company Limited(formerly Forbes Gokak Limited ), has been demerged into GOKAK TEXTILES LIMITED (the Company), under the provisions of Section 391 to 394 of the Companies Act, 1956, effective from 1st April 2007. The said scheme of demerger was approved by the shareholders of respective companies and sanctioned by the Bombay High Court and the High Court of Karnataka vide their order dated 4th May 2007 and 13th July 2007 respectively. The equity shares of the company were listed on the Bombay Stock Exchange on 19th March 2008.Therefore unaudited results for the nine months ended 31st Dec, 2007 were not subject to limited review.</t>
  </si>
  <si>
    <t>The Company operates one segment only, namely Textiles.</t>
  </si>
  <si>
    <t xml:space="preserve">              H.S.Bhaskar</t>
  </si>
  <si>
    <t>Due to  increasing cost of cotton and Furnace oil  , the Company has rationalised  production of yarn during the period under review.The Company is in the process of restructuring loan arrangements.</t>
  </si>
  <si>
    <t xml:space="preserve">Other Operating Income </t>
  </si>
  <si>
    <t>Quarter IV</t>
  </si>
  <si>
    <t>31.03.2009</t>
  </si>
  <si>
    <t>Unaudited</t>
  </si>
  <si>
    <t>P &amp; L COMPARISON 2007-08 &amp; 2008-09.</t>
  </si>
  <si>
    <t>VARIANCE</t>
  </si>
  <si>
    <t>ACTUAL 2008-09</t>
  </si>
  <si>
    <t>ACTUAL 2007-08</t>
  </si>
  <si>
    <t>AND INTEREST BEFORE TAX</t>
  </si>
  <si>
    <t xml:space="preserve">SALES ( IN MT / PCS) </t>
  </si>
  <si>
    <t>GOKAK TEXTILES LTD.-GOKAK MILLS DIVISION</t>
  </si>
  <si>
    <t>EXCHANGE VARIATION</t>
  </si>
  <si>
    <t>GOKAK TEXTILES LTD - FORBES CAMPBELL KNITWEAR DIVISION</t>
  </si>
  <si>
    <t>P &amp; L COMPARISON 2007-08  v/s 2008-09.</t>
  </si>
  <si>
    <t>Note: Exchange loss of 290.69 is included in other expenses upto Mar,09 in Mills column</t>
  </si>
  <si>
    <t xml:space="preserve">          whereas in upto Mar,08, there was net gain of Rs 142.47 lakhs included in other income</t>
  </si>
  <si>
    <t xml:space="preserve">          ( Mills  Gain Rs 167.29 lakhs + Loss CKL 24.82 lakhs = Net Gain Rs 142.47 lakhs )</t>
  </si>
  <si>
    <t>(Net of Inter Unit Transactions)</t>
  </si>
  <si>
    <t>(Without Inter Unit transactions)</t>
  </si>
  <si>
    <t>Promoter and Promoter Group</t>
  </si>
  <si>
    <t>a)  Shareholding</t>
  </si>
  <si>
    <t>     - Number of shares</t>
  </si>
  <si>
    <t>     - Percentage of shares (as a % of the total shareholding of</t>
  </si>
  <si>
    <t>       promoter and promter group)</t>
  </si>
  <si>
    <t>     - Percentage of shares (as a % of the total share capital of</t>
  </si>
  <si>
    <t>       the company)</t>
  </si>
  <si>
    <t>b) Non-encumbered </t>
  </si>
  <si>
    <t>      - Number of Shares</t>
  </si>
  <si>
    <t>      - Percentage of shares (as a% of the total shareholding of</t>
  </si>
  <si>
    <t>        promoter and promoter group)</t>
  </si>
  <si>
    <t>      - Percentage of shares (as a % of the total share capital of the</t>
  </si>
  <si>
    <t>        Company)</t>
  </si>
  <si>
    <t xml:space="preserve">     Audited Financial Results for the Quarter and Year ended 31st March,2009</t>
  </si>
  <si>
    <t xml:space="preserve">     We set out the audited financial results for the quarter and year ended 31st March,2009</t>
  </si>
  <si>
    <t>Note: Exchange loss of Rs.327.01 is included in other expenses upto Mar,09 in Mills column</t>
  </si>
  <si>
    <t>31 st July, 2009</t>
  </si>
  <si>
    <t xml:space="preserve">The above results were taken on records by the Board of Directors of the company at their meeting held on 31st July, 2009 . </t>
  </si>
  <si>
    <t>Operating Profit/(Loss) before Interest and Exceptional Items (3-4)</t>
  </si>
  <si>
    <t>Profit/( Loss ) from ordinary activities before Tax (5-6)</t>
  </si>
  <si>
    <t>Net Profit/(Loss) For the Period ( 7-8 )</t>
  </si>
  <si>
    <t>Basic and Diluted Earnings per share of face value of Rs 10 each</t>
  </si>
  <si>
    <t>Pursuant to a Scheme of Demerger,extile division of Forbes &amp; Company Limited(formerly Forbes Gokak Limited ), has been demerged into GOKAK TEXTILES LIMITED (the Company), under the provisions of Section 391 to 394 of the Companies Act, 1956, effective from 1st April 2007. The said scheme of demerger was approved by the shareholders of respective companies and sanctioned by the Bombay High Court and the High Court of Karnataka vide their order dated 4th May 2007 and 13th July 2007 respectively. The equity shares of the company were listed on the Bombay Stock Exchange on 19th March 2008.</t>
  </si>
  <si>
    <t>Results include net Exchange gain/loss recognised as per AS 11 for the year ended 31.03.2009 a loss of Rs 217.25lakhs and year ended 31.03.2008 a gain of Rs 142.47 lakhs</t>
  </si>
  <si>
    <t xml:space="preserve">The Company has not received any shareholders complaints during the quarter ended March,2009 and no complaints are outstanding. </t>
  </si>
</sst>
</file>

<file path=xl/styles.xml><?xml version="1.0" encoding="utf-8"?>
<styleSheet xmlns="http://schemas.openxmlformats.org/spreadsheetml/2006/main">
  <numFmts count="61">
    <numFmt numFmtId="5" formatCode="&quot;Rs.&quot;\ #,##0_);\(&quot;Rs.&quot;\ #,##0\)"/>
    <numFmt numFmtId="6" formatCode="&quot;Rs.&quot;\ #,##0_);[Red]\(&quot;Rs.&quot;\ #,##0\)"/>
    <numFmt numFmtId="7" formatCode="&quot;Rs.&quot;\ #,##0.00_);\(&quot;Rs.&quot;\ #,##0.00\)"/>
    <numFmt numFmtId="8" formatCode="&quot;Rs.&quot;\ #,##0.00_);[Red]\(&quot;Rs.&quot;\ #,##0.00\)"/>
    <numFmt numFmtId="42" formatCode="_(&quot;Rs.&quot;\ * #,##0_);_(&quot;Rs.&quot;\ * \(#,##0\);_(&quot;Rs.&quot;\ * &quot;-&quot;_);_(@_)"/>
    <numFmt numFmtId="41" formatCode="_(* #,##0_);_(* \(#,##0\);_(* &quot;-&quot;_);_(@_)"/>
    <numFmt numFmtId="44" formatCode="_(&quot;Rs.&quot;\ * #,##0.00_);_(&quot;Rs.&quot;\ * \(#,##0.00\);_(&quot;Rs.&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 #,##0_-;_-* &quot;-&quot;_-;_-@_-"/>
    <numFmt numFmtId="171" formatCode="_-* #,##0.00_-;\-* #,##0.00_-;_-* &quot;-&quot;??_-;_-@_-"/>
    <numFmt numFmtId="172" formatCode="_(* #,##0_);_(* \(#,##0\);_(* &quot;-&quot;??_);_(@_)"/>
    <numFmt numFmtId="173" formatCode="&quot;$&quot;#,##0;\-&quot;$&quot;#,##0"/>
    <numFmt numFmtId="174" formatCode="0.000"/>
    <numFmt numFmtId="175" formatCode="0.00_)"/>
    <numFmt numFmtId="176" formatCode="#,##0.0_);\(#,##0.0\)"/>
    <numFmt numFmtId="177" formatCode="_(&quot;$&quot;* #,##0.0000000_);_(&quot;$&quot;* \(#,##0.0000000\);_(&quot;$&quot;* &quot;-&quot;??_);_(@_)"/>
    <numFmt numFmtId="178" formatCode="&quot;$&quot;#,##0.0000_);\(&quot;$&quot;#,##0.0000\)"/>
    <numFmt numFmtId="179" formatCode="#,##0.00\ &quot;F&quot;;[Red]\-#,##0.00\ &quot;F&quot;"/>
    <numFmt numFmtId="180" formatCode="_-* #,##0\ &quot;F&quot;_-;\-* #,##0\ &quot;F&quot;_-;_-* &quot;-&quot;\ &quot;F&quot;_-;_-@_-"/>
    <numFmt numFmtId="181" formatCode="_-* #,##0\ _F_-;\-* #,##0\ _F_-;_-* &quot;-&quot;\ _F_-;_-@_-"/>
    <numFmt numFmtId="182" formatCode="_-* #,##0.00\ &quot;F&quot;_-;\-* #,##0.00\ &quot;F&quot;_-;_-* &quot;-&quot;??\ &quot;F&quot;_-;_-@_-"/>
    <numFmt numFmtId="183" formatCode="#,##0.000"/>
    <numFmt numFmtId="184" formatCode="General_)"/>
    <numFmt numFmtId="185" formatCode="_(&quot;$&quot;* #,##0.0_);_(&quot;$&quot;* \(#,##0.0\);_(&quot;$&quot;* &quot;-&quot;??_);_(@_)"/>
    <numFmt numFmtId="186" formatCode="_(&quot;$&quot;* #,##0_);_(&quot;$&quot;* \(#,##0\);_(&quot;$&quot;* &quot;-&quot;??_);_(@_)"/>
    <numFmt numFmtId="187" formatCode="000"/>
    <numFmt numFmtId="188" formatCode="_(&quot;$&quot;* #,##0.000_);_(&quot;$&quot;* \(#,##0.000\);_(&quot;$&quot;* &quot;-&quot;??_);_(@_)"/>
    <numFmt numFmtId="189" formatCode="\10000"/>
    <numFmt numFmtId="190" formatCode="#,##0.000_);\(#,##0.000\)"/>
    <numFmt numFmtId="191" formatCode="_-* #,##0_-;\-* #,##0_-;_-* &quot;-&quot;??_-;_-@_-"/>
    <numFmt numFmtId="192" formatCode="_-* #,##0.00_-;\-* #,##0.00_-;_-* &quot;-&quot;_-;_-@_-"/>
    <numFmt numFmtId="193" formatCode="0.0"/>
    <numFmt numFmtId="194" formatCode="0.0000000"/>
    <numFmt numFmtId="195" formatCode="0.000000"/>
    <numFmt numFmtId="196" formatCode="0.00000"/>
    <numFmt numFmtId="197" formatCode="0.0000"/>
    <numFmt numFmtId="198" formatCode="&quot;$&quot;#,##0;[Red]\-&quot;$&quot;#,##0"/>
    <numFmt numFmtId="199" formatCode="&quot;$&quot;#,##0.00;\-&quot;$&quot;#,##0.00"/>
    <numFmt numFmtId="200" formatCode="&quot;$&quot;#,##0.00;[Red]\-&quot;$&quot;#,##0.00"/>
    <numFmt numFmtId="201" formatCode="_-&quot;$&quot;* #,##0_-;\-&quot;$&quot;* #,##0_-;_-&quot;$&quot;* &quot;-&quot;_-;_-@_-"/>
    <numFmt numFmtId="202" formatCode="_-&quot;$&quot;* #,##0.00_-;\-&quot;$&quot;* #,##0.00_-;_-&quot;$&quot;* &quot;-&quot;??_-;_-@_-"/>
    <numFmt numFmtId="203" formatCode="0.00000000"/>
    <numFmt numFmtId="204" formatCode="0_)"/>
    <numFmt numFmtId="205" formatCode="0.0_)"/>
    <numFmt numFmtId="206" formatCode="0.000_)"/>
    <numFmt numFmtId="207" formatCode="0.0000_)"/>
    <numFmt numFmtId="208" formatCode="0.00000_)"/>
    <numFmt numFmtId="209" formatCode="_(* #,##0.0_);_(* \(#,##0.0\);_(* &quot;-&quot;??_);_(@_)"/>
    <numFmt numFmtId="210" formatCode="_(* #,##0.000_);_(* \(#,##0.000\);_(* &quot;-&quot;??_);_(@_)"/>
    <numFmt numFmtId="211" formatCode="0.00_);\(0.00\)"/>
    <numFmt numFmtId="212" formatCode="_(* #,##0.0_);_(* \(#,##0.0\);_(* &quot;-&quot;?_);_(@_)"/>
    <numFmt numFmtId="213" formatCode="##&quot;,&quot;##&quot;,&quot;##&quot;,&quot;###;\(##&quot;,&quot;##&quot;,&quot;##&quot;,&quot;###\)"/>
    <numFmt numFmtId="214" formatCode="&quot;Yes&quot;;&quot;Yes&quot;;&quot;No&quot;"/>
    <numFmt numFmtId="215" formatCode="&quot;True&quot;;&quot;True&quot;;&quot;False&quot;"/>
    <numFmt numFmtId="216" formatCode="&quot;On&quot;;&quot;On&quot;;&quot;Off&quot;"/>
  </numFmts>
  <fonts count="56">
    <font>
      <sz val="10"/>
      <name val="Arial"/>
      <family val="0"/>
    </font>
    <font>
      <sz val="12"/>
      <color indexed="8"/>
      <name val="Times New Roman"/>
      <family val="2"/>
    </font>
    <font>
      <sz val="12"/>
      <color indexed="9"/>
      <name val="Times New Roman"/>
      <family val="2"/>
    </font>
    <font>
      <sz val="8"/>
      <name val="Times New Roman"/>
      <family val="1"/>
    </font>
    <font>
      <sz val="12"/>
      <color indexed="20"/>
      <name val="Times New Roman"/>
      <family val="2"/>
    </font>
    <font>
      <sz val="12"/>
      <name val="Tms Rmn"/>
      <family val="0"/>
    </font>
    <font>
      <sz val="9"/>
      <name val="Times New Roman"/>
      <family val="1"/>
    </font>
    <font>
      <sz val="10"/>
      <name val="Courier"/>
      <family val="3"/>
    </font>
    <font>
      <b/>
      <sz val="12"/>
      <color indexed="52"/>
      <name val="Times New Roman"/>
      <family val="2"/>
    </font>
    <font>
      <b/>
      <sz val="12"/>
      <color indexed="9"/>
      <name val="Times New Roman"/>
      <family val="2"/>
    </font>
    <font>
      <sz val="10"/>
      <name val="MS Serif"/>
      <family val="1"/>
    </font>
    <font>
      <sz val="10"/>
      <color indexed="8"/>
      <name val="Arial"/>
      <family val="2"/>
    </font>
    <font>
      <sz val="10"/>
      <color indexed="16"/>
      <name val="MS Serif"/>
      <family val="1"/>
    </font>
    <font>
      <i/>
      <sz val="12"/>
      <color indexed="23"/>
      <name val="Times New Roman"/>
      <family val="2"/>
    </font>
    <font>
      <u val="single"/>
      <sz val="10"/>
      <color indexed="36"/>
      <name val="Arial"/>
      <family val="0"/>
    </font>
    <font>
      <sz val="12"/>
      <color indexed="17"/>
      <name val="Times New Roman"/>
      <family val="2"/>
    </font>
    <font>
      <sz val="8"/>
      <name val="Arial"/>
      <family val="2"/>
    </font>
    <font>
      <b/>
      <sz val="12"/>
      <name val="Arial"/>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0"/>
    </font>
    <font>
      <sz val="12"/>
      <color indexed="62"/>
      <name val="Times New Roman"/>
      <family val="2"/>
    </font>
    <font>
      <sz val="12"/>
      <name val="Helv"/>
      <family val="0"/>
    </font>
    <font>
      <sz val="12"/>
      <color indexed="52"/>
      <name val="Times New Roman"/>
      <family val="2"/>
    </font>
    <font>
      <sz val="12"/>
      <color indexed="9"/>
      <name val="Helv"/>
      <family val="0"/>
    </font>
    <font>
      <sz val="12"/>
      <color indexed="60"/>
      <name val="Times New Roman"/>
      <family val="2"/>
    </font>
    <font>
      <sz val="7"/>
      <name val="Small Fonts"/>
      <family val="2"/>
    </font>
    <font>
      <b/>
      <i/>
      <sz val="16"/>
      <name val="Helv"/>
      <family val="0"/>
    </font>
    <font>
      <sz val="10"/>
      <name val="Verdana"/>
      <family val="0"/>
    </font>
    <font>
      <sz val="12"/>
      <name val="Times New Roman"/>
      <family val="1"/>
    </font>
    <font>
      <b/>
      <sz val="12"/>
      <color indexed="63"/>
      <name val="Times New Roman"/>
      <family val="2"/>
    </font>
    <font>
      <sz val="10"/>
      <name val="Tms Rmn"/>
      <family val="0"/>
    </font>
    <font>
      <sz val="10"/>
      <name val="MS Sans Serif"/>
      <family val="2"/>
    </font>
    <font>
      <b/>
      <sz val="8"/>
      <color indexed="8"/>
      <name val="Helv"/>
      <family val="0"/>
    </font>
    <font>
      <b/>
      <sz val="18"/>
      <color indexed="56"/>
      <name val="Cambria"/>
      <family val="2"/>
    </font>
    <font>
      <b/>
      <sz val="12"/>
      <color indexed="8"/>
      <name val="Times New Roman"/>
      <family val="2"/>
    </font>
    <font>
      <sz val="12"/>
      <color indexed="10"/>
      <name val="Times New Roman"/>
      <family val="2"/>
    </font>
    <font>
      <sz val="10"/>
      <color indexed="10"/>
      <name val="Verdana"/>
      <family val="2"/>
    </font>
    <font>
      <b/>
      <sz val="18"/>
      <name val="Bookman Old Style"/>
      <family val="1"/>
    </font>
    <font>
      <b/>
      <sz val="18"/>
      <name val="Verdana"/>
      <family val="0"/>
    </font>
    <font>
      <b/>
      <sz val="10"/>
      <name val="Bookman Old Style"/>
      <family val="1"/>
    </font>
    <font>
      <sz val="10"/>
      <name val="Bookman Old Style"/>
      <family val="1"/>
    </font>
    <font>
      <sz val="12"/>
      <name val="Bookman Old Style"/>
      <family val="1"/>
    </font>
    <font>
      <b/>
      <sz val="12"/>
      <name val="Bookman Old Style"/>
      <family val="1"/>
    </font>
    <font>
      <b/>
      <sz val="10"/>
      <name val="Verdana"/>
      <family val="0"/>
    </font>
    <font>
      <i/>
      <sz val="12"/>
      <name val="Bookman Old Style"/>
      <family val="1"/>
    </font>
    <font>
      <b/>
      <i/>
      <sz val="12"/>
      <name val="Bookman Old Style"/>
      <family val="1"/>
    </font>
    <font>
      <sz val="11"/>
      <name val="Bookman Old Style"/>
      <family val="1"/>
    </font>
    <font>
      <sz val="10"/>
      <color indexed="53"/>
      <name val="Bookman Old Style"/>
      <family val="1"/>
    </font>
    <font>
      <b/>
      <sz val="10"/>
      <name val="Courier"/>
      <family val="0"/>
    </font>
    <font>
      <b/>
      <sz val="10"/>
      <name val="Arial"/>
      <family val="2"/>
    </font>
    <font>
      <sz val="14"/>
      <name val="Bookman Old Style"/>
      <family val="1"/>
    </font>
    <font>
      <sz val="14"/>
      <name val="Verdana"/>
      <family val="0"/>
    </font>
    <font>
      <b/>
      <sz val="14"/>
      <name val="Bookman Old Style"/>
      <family val="1"/>
    </font>
    <font>
      <sz val="11"/>
      <color indexed="62"/>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color indexed="63"/>
      </right>
      <top style="medium"/>
      <bottom>
        <color indexed="63"/>
      </bottom>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lignment horizontal="center" wrapText="1"/>
      <protection locked="0"/>
    </xf>
    <xf numFmtId="0" fontId="4" fillId="3" borderId="0" applyNumberFormat="0" applyBorder="0" applyAlignment="0" applyProtection="0"/>
    <xf numFmtId="0" fontId="5" fillId="0" borderId="0" applyNumberFormat="0" applyFill="0" applyBorder="0" applyAlignment="0" applyProtection="0"/>
    <xf numFmtId="178" fontId="0" fillId="0" borderId="0" applyFill="0" applyBorder="0" applyAlignment="0">
      <protection/>
    </xf>
    <xf numFmtId="184" fontId="6" fillId="0" borderId="0" applyFill="0" applyBorder="0" applyAlignment="0">
      <protection/>
    </xf>
    <xf numFmtId="174" fontId="6" fillId="0" borderId="0" applyFill="0" applyBorder="0" applyAlignment="0">
      <protection/>
    </xf>
    <xf numFmtId="176" fontId="7" fillId="0" borderId="0" applyFill="0" applyBorder="0" applyAlignment="0">
      <protection/>
    </xf>
    <xf numFmtId="190" fontId="7" fillId="0" borderId="0" applyFill="0" applyBorder="0" applyAlignment="0">
      <protection/>
    </xf>
    <xf numFmtId="185" fontId="0" fillId="0" borderId="0" applyFill="0" applyBorder="0" applyAlignment="0">
      <protection/>
    </xf>
    <xf numFmtId="187" fontId="0" fillId="0" borderId="0" applyFill="0" applyBorder="0" applyAlignment="0">
      <protection/>
    </xf>
    <xf numFmtId="184" fontId="6" fillId="0" borderId="0" applyFill="0" applyBorder="0" applyAlignment="0">
      <protection/>
    </xf>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0" fontId="10" fillId="0" borderId="0" applyNumberFormat="0" applyAlignment="0">
      <protection/>
    </xf>
    <xf numFmtId="0" fontId="7" fillId="0" borderId="0" applyNumberFormat="0" applyAlignment="0">
      <protection/>
    </xf>
    <xf numFmtId="169" fontId="0" fillId="0" borderId="0" applyFont="0" applyFill="0" applyBorder="0" applyAlignment="0" applyProtection="0"/>
    <xf numFmtId="168" fontId="0" fillId="0" borderId="0" applyFont="0" applyFill="0" applyBorder="0" applyAlignment="0" applyProtection="0"/>
    <xf numFmtId="184" fontId="6" fillId="0" borderId="0" applyFont="0" applyFill="0" applyBorder="0" applyAlignment="0" applyProtection="0"/>
    <xf numFmtId="14" fontId="11" fillId="0" borderId="0" applyFill="0" applyBorder="0" applyAlignment="0">
      <protection/>
    </xf>
    <xf numFmtId="186" fontId="0" fillId="0" borderId="3">
      <alignment vertical="center"/>
      <protection/>
    </xf>
    <xf numFmtId="185" fontId="0" fillId="0" borderId="0" applyFill="0" applyBorder="0" applyAlignment="0">
      <protection/>
    </xf>
    <xf numFmtId="184" fontId="6" fillId="0" borderId="0" applyFill="0" applyBorder="0" applyAlignment="0">
      <protection/>
    </xf>
    <xf numFmtId="185" fontId="0" fillId="0" borderId="0" applyFill="0" applyBorder="0" applyAlignment="0">
      <protection/>
    </xf>
    <xf numFmtId="187" fontId="0" fillId="0" borderId="0" applyFill="0" applyBorder="0" applyAlignment="0">
      <protection/>
    </xf>
    <xf numFmtId="184" fontId="6" fillId="0" borderId="0" applyFill="0" applyBorder="0" applyAlignment="0">
      <protection/>
    </xf>
    <xf numFmtId="0" fontId="12" fillId="0" borderId="0" applyNumberFormat="0" applyAlignment="0">
      <protection/>
    </xf>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38" fontId="16" fillId="20" borderId="0" applyNumberFormat="0" applyBorder="0" applyAlignment="0" applyProtection="0"/>
    <xf numFmtId="0" fontId="17" fillId="0" borderId="4" applyNumberFormat="0" applyAlignment="0" applyProtection="0"/>
    <xf numFmtId="0" fontId="17" fillId="0" borderId="5">
      <alignment horizontal="left" vertical="center"/>
      <protection/>
    </xf>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7" borderId="1" applyNumberFormat="0" applyAlignment="0" applyProtection="0"/>
    <xf numFmtId="10" fontId="16" fillId="22" borderId="9" applyNumberFormat="0" applyBorder="0" applyAlignment="0" applyProtection="0"/>
    <xf numFmtId="176" fontId="23" fillId="23" borderId="0">
      <alignment/>
      <protection/>
    </xf>
    <xf numFmtId="0" fontId="55" fillId="7" borderId="1" applyNumberFormat="0" applyAlignment="0" applyProtection="0"/>
    <xf numFmtId="185" fontId="0" fillId="0" borderId="0" applyFill="0" applyBorder="0" applyAlignment="0">
      <protection/>
    </xf>
    <xf numFmtId="184" fontId="6" fillId="0" borderId="0" applyFill="0" applyBorder="0" applyAlignment="0">
      <protection/>
    </xf>
    <xf numFmtId="185" fontId="0" fillId="0" borderId="0" applyFill="0" applyBorder="0" applyAlignment="0">
      <protection/>
    </xf>
    <xf numFmtId="187" fontId="0" fillId="0" borderId="0" applyFill="0" applyBorder="0" applyAlignment="0">
      <protection/>
    </xf>
    <xf numFmtId="184" fontId="6" fillId="0" borderId="0" applyFill="0" applyBorder="0" applyAlignment="0">
      <protection/>
    </xf>
    <xf numFmtId="0" fontId="24" fillId="0" borderId="10" applyNumberFormat="0" applyFill="0" applyAlignment="0" applyProtection="0"/>
    <xf numFmtId="176" fontId="25" fillId="24" borderId="0">
      <alignment/>
      <protection/>
    </xf>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26" fillId="25" borderId="0" applyNumberFormat="0" applyBorder="0" applyAlignment="0" applyProtection="0"/>
    <xf numFmtId="37" fontId="27" fillId="0" borderId="0">
      <alignment/>
      <protection/>
    </xf>
    <xf numFmtId="175" fontId="28" fillId="0" borderId="0">
      <alignment/>
      <protection/>
    </xf>
    <xf numFmtId="0" fontId="7" fillId="0" borderId="0">
      <alignment/>
      <protection/>
    </xf>
    <xf numFmtId="0" fontId="29" fillId="0" borderId="0">
      <alignment/>
      <protection/>
    </xf>
    <xf numFmtId="0" fontId="30" fillId="22" borderId="11" applyNumberFormat="0" applyFont="0" applyAlignment="0" applyProtection="0"/>
    <xf numFmtId="171" fontId="0" fillId="0" borderId="0" applyFont="0" applyFill="0" applyBorder="0" applyAlignment="0" applyProtection="0"/>
    <xf numFmtId="170" fontId="0" fillId="0" borderId="0" applyFont="0" applyFill="0" applyBorder="0" applyAlignment="0" applyProtection="0"/>
    <xf numFmtId="0" fontId="31" fillId="20" borderId="12" applyNumberFormat="0" applyAlignment="0" applyProtection="0"/>
    <xf numFmtId="0" fontId="1" fillId="26" borderId="0">
      <alignment/>
      <protection/>
    </xf>
    <xf numFmtId="14" fontId="3" fillId="0" borderId="0">
      <alignment horizontal="center" wrapText="1"/>
      <protection locked="0"/>
    </xf>
    <xf numFmtId="9" fontId="0" fillId="0" borderId="0" applyFont="0" applyFill="0" applyBorder="0" applyAlignment="0" applyProtection="0"/>
    <xf numFmtId="190" fontId="7" fillId="0" borderId="0" applyFont="0" applyFill="0" applyBorder="0" applyAlignment="0" applyProtection="0"/>
    <xf numFmtId="183" fontId="0" fillId="0" borderId="0" applyFont="0" applyFill="0" applyBorder="0" applyAlignment="0" applyProtection="0"/>
    <xf numFmtId="10" fontId="0" fillId="0" borderId="0" applyFont="0" applyFill="0" applyBorder="0" applyAlignment="0" applyProtection="0"/>
    <xf numFmtId="185" fontId="0" fillId="0" borderId="0" applyFill="0" applyBorder="0" applyAlignment="0">
      <protection/>
    </xf>
    <xf numFmtId="184" fontId="6" fillId="0" borderId="0" applyFill="0" applyBorder="0" applyAlignment="0">
      <protection/>
    </xf>
    <xf numFmtId="185" fontId="0" fillId="0" borderId="0" applyFill="0" applyBorder="0" applyAlignment="0">
      <protection/>
    </xf>
    <xf numFmtId="187" fontId="0" fillId="0" borderId="0" applyFill="0" applyBorder="0" applyAlignment="0">
      <protection/>
    </xf>
    <xf numFmtId="184" fontId="6" fillId="0" borderId="0" applyFill="0" applyBorder="0" applyAlignment="0">
      <protection/>
    </xf>
    <xf numFmtId="173" fontId="32" fillId="0" borderId="0">
      <alignment/>
      <protection/>
    </xf>
    <xf numFmtId="0" fontId="33" fillId="0" borderId="0" applyNumberFormat="0" applyFont="0" applyFill="0" applyBorder="0" applyAlignment="0" applyProtection="0"/>
    <xf numFmtId="177" fontId="0" fillId="0" borderId="0" applyNumberFormat="0" applyFill="0" applyBorder="0" applyAlignment="0" applyProtection="0"/>
    <xf numFmtId="0" fontId="0" fillId="0" borderId="0" applyNumberFormat="0" applyFill="0" applyBorder="0" applyAlignment="0" applyProtection="0"/>
    <xf numFmtId="40" fontId="34" fillId="0" borderId="0" applyBorder="0">
      <alignment horizontal="right"/>
      <protection/>
    </xf>
    <xf numFmtId="49" fontId="11" fillId="0" borderId="0" applyFill="0" applyBorder="0" applyAlignment="0">
      <protection/>
    </xf>
    <xf numFmtId="188" fontId="0" fillId="0" borderId="0" applyFill="0" applyBorder="0" applyAlignment="0">
      <protection/>
    </xf>
    <xf numFmtId="189" fontId="0" fillId="0" borderId="0" applyFill="0" applyBorder="0" applyAlignment="0">
      <protection/>
    </xf>
    <xf numFmtId="0" fontId="35" fillId="0" borderId="0" applyNumberFormat="0" applyFill="0" applyBorder="0" applyAlignment="0" applyProtection="0"/>
    <xf numFmtId="0" fontId="36" fillId="0" borderId="13" applyNumberFormat="0" applyFill="0" applyAlignment="0" applyProtection="0"/>
    <xf numFmtId="0" fontId="37" fillId="0" borderId="0" applyNumberFormat="0" applyFill="0" applyBorder="0" applyAlignment="0" applyProtection="0"/>
  </cellStyleXfs>
  <cellXfs count="303">
    <xf numFmtId="0" fontId="0" fillId="0" borderId="0" xfId="0" applyAlignment="1">
      <alignment/>
    </xf>
    <xf numFmtId="0" fontId="29" fillId="0" borderId="0" xfId="99">
      <alignment/>
      <protection/>
    </xf>
    <xf numFmtId="0" fontId="29" fillId="26" borderId="0" xfId="99" applyFont="1" applyFill="1">
      <alignment/>
      <protection/>
    </xf>
    <xf numFmtId="0" fontId="38" fillId="0" borderId="0" xfId="99" applyFont="1">
      <alignment/>
      <protection/>
    </xf>
    <xf numFmtId="0" fontId="40" fillId="26" borderId="0" xfId="99" applyFont="1" applyFill="1" applyAlignment="1">
      <alignment horizontal="center"/>
      <protection/>
    </xf>
    <xf numFmtId="0" fontId="41" fillId="26" borderId="0" xfId="99" applyFont="1" applyFill="1" applyAlignment="1">
      <alignment horizontal="center"/>
      <protection/>
    </xf>
    <xf numFmtId="0" fontId="42" fillId="26" borderId="0" xfId="99" applyFont="1" applyFill="1">
      <alignment/>
      <protection/>
    </xf>
    <xf numFmtId="0" fontId="43" fillId="26" borderId="0" xfId="99" applyFont="1" applyFill="1">
      <alignment/>
      <protection/>
    </xf>
    <xf numFmtId="0" fontId="41" fillId="26" borderId="0" xfId="99" applyFont="1" applyFill="1">
      <alignment/>
      <protection/>
    </xf>
    <xf numFmtId="0" fontId="42" fillId="0" borderId="0" xfId="99" applyFont="1">
      <alignment/>
      <protection/>
    </xf>
    <xf numFmtId="0" fontId="45" fillId="26" borderId="0" xfId="99" applyFont="1" applyFill="1" applyAlignment="1">
      <alignment horizontal="right"/>
      <protection/>
    </xf>
    <xf numFmtId="0" fontId="45" fillId="26" borderId="0" xfId="99" applyFont="1" applyFill="1">
      <alignment/>
      <protection/>
    </xf>
    <xf numFmtId="0" fontId="44" fillId="26" borderId="14" xfId="99" applyFont="1" applyFill="1" applyBorder="1">
      <alignment/>
      <protection/>
    </xf>
    <xf numFmtId="0" fontId="44" fillId="26" borderId="14" xfId="99" applyFont="1" applyFill="1" applyBorder="1" applyAlignment="1">
      <alignment horizontal="center"/>
      <protection/>
    </xf>
    <xf numFmtId="0" fontId="46" fillId="26" borderId="14" xfId="99" applyFont="1" applyFill="1" applyBorder="1" applyAlignment="1">
      <alignment horizontal="center"/>
      <protection/>
    </xf>
    <xf numFmtId="0" fontId="44" fillId="26" borderId="15" xfId="99" applyFont="1" applyFill="1" applyBorder="1">
      <alignment/>
      <protection/>
    </xf>
    <xf numFmtId="0" fontId="44" fillId="26" borderId="15" xfId="99" applyFont="1" applyFill="1" applyBorder="1" applyAlignment="1">
      <alignment horizontal="center"/>
      <protection/>
    </xf>
    <xf numFmtId="0" fontId="46" fillId="26" borderId="15" xfId="99" applyFont="1" applyFill="1" applyBorder="1" applyAlignment="1">
      <alignment horizontal="center"/>
      <protection/>
    </xf>
    <xf numFmtId="0" fontId="44" fillId="26" borderId="16" xfId="99" applyFont="1" applyFill="1" applyBorder="1">
      <alignment/>
      <protection/>
    </xf>
    <xf numFmtId="0" fontId="44" fillId="26" borderId="16" xfId="99" applyFont="1" applyFill="1" applyBorder="1" applyAlignment="1">
      <alignment horizontal="center"/>
      <protection/>
    </xf>
    <xf numFmtId="0" fontId="46" fillId="26" borderId="16" xfId="99" applyFont="1" applyFill="1" applyBorder="1" applyAlignment="1">
      <alignment horizontal="center"/>
      <protection/>
    </xf>
    <xf numFmtId="0" fontId="43" fillId="26" borderId="14" xfId="99" applyFont="1" applyFill="1" applyBorder="1" applyAlignment="1">
      <alignment horizontal="center"/>
      <protection/>
    </xf>
    <xf numFmtId="0" fontId="43" fillId="26" borderId="14" xfId="99" applyFont="1" applyFill="1" applyBorder="1">
      <alignment/>
      <protection/>
    </xf>
    <xf numFmtId="0" fontId="44" fillId="26" borderId="17" xfId="99" applyFont="1" applyFill="1" applyBorder="1" applyAlignment="1">
      <alignment horizontal="center"/>
      <protection/>
    </xf>
    <xf numFmtId="0" fontId="46" fillId="26" borderId="17" xfId="99" applyFont="1" applyFill="1" applyBorder="1" applyAlignment="1">
      <alignment horizontal="center"/>
      <protection/>
    </xf>
    <xf numFmtId="0" fontId="43" fillId="26" borderId="15" xfId="99" applyFont="1" applyFill="1" applyBorder="1" applyAlignment="1">
      <alignment horizontal="center"/>
      <protection/>
    </xf>
    <xf numFmtId="0" fontId="43" fillId="26" borderId="15" xfId="99" applyFont="1" applyFill="1" applyBorder="1">
      <alignment/>
      <protection/>
    </xf>
    <xf numFmtId="0" fontId="46" fillId="26" borderId="15" xfId="99" applyFont="1" applyFill="1" applyBorder="1">
      <alignment/>
      <protection/>
    </xf>
    <xf numFmtId="43" fontId="43" fillId="26" borderId="15" xfId="53" applyFont="1" applyFill="1" applyBorder="1" applyAlignment="1">
      <alignment/>
    </xf>
    <xf numFmtId="43" fontId="46" fillId="26" borderId="15" xfId="53" applyFont="1" applyFill="1" applyBorder="1" applyAlignment="1">
      <alignment/>
    </xf>
    <xf numFmtId="43" fontId="44" fillId="26" borderId="18" xfId="53" applyFont="1" applyFill="1" applyBorder="1" applyAlignment="1">
      <alignment/>
    </xf>
    <xf numFmtId="43" fontId="47" fillId="26" borderId="18" xfId="53" applyFont="1" applyFill="1" applyBorder="1" applyAlignment="1">
      <alignment/>
    </xf>
    <xf numFmtId="43" fontId="29" fillId="0" borderId="0" xfId="99" applyNumberFormat="1">
      <alignment/>
      <protection/>
    </xf>
    <xf numFmtId="43" fontId="44" fillId="26" borderId="15" xfId="53" applyFont="1" applyFill="1" applyBorder="1" applyAlignment="1">
      <alignment/>
    </xf>
    <xf numFmtId="43" fontId="47" fillId="26" borderId="15" xfId="53" applyFont="1" applyFill="1" applyBorder="1" applyAlignment="1">
      <alignment/>
    </xf>
    <xf numFmtId="0" fontId="44" fillId="26" borderId="15" xfId="99" applyFont="1" applyFill="1" applyBorder="1" applyAlignment="1">
      <alignment horizontal="left"/>
      <protection/>
    </xf>
    <xf numFmtId="172" fontId="44" fillId="26" borderId="15" xfId="53" applyNumberFormat="1" applyFont="1" applyFill="1" applyBorder="1" applyAlignment="1">
      <alignment/>
    </xf>
    <xf numFmtId="172" fontId="47" fillId="26" borderId="15" xfId="53" applyNumberFormat="1" applyFont="1" applyFill="1" applyBorder="1" applyAlignment="1">
      <alignment/>
    </xf>
    <xf numFmtId="10" fontId="44" fillId="26" borderId="15" xfId="53" applyNumberFormat="1" applyFont="1" applyFill="1" applyBorder="1" applyAlignment="1">
      <alignment/>
    </xf>
    <xf numFmtId="10" fontId="47" fillId="26" borderId="15" xfId="53" applyNumberFormat="1" applyFont="1" applyFill="1" applyBorder="1" applyAlignment="1">
      <alignment/>
    </xf>
    <xf numFmtId="0" fontId="43" fillId="26" borderId="16" xfId="99" applyFont="1" applyFill="1" applyBorder="1" applyAlignment="1">
      <alignment horizontal="center"/>
      <protection/>
    </xf>
    <xf numFmtId="0" fontId="43" fillId="26" borderId="16" xfId="99" applyFont="1" applyFill="1" applyBorder="1">
      <alignment/>
      <protection/>
    </xf>
    <xf numFmtId="43" fontId="43" fillId="26" borderId="16" xfId="53" applyFont="1" applyFill="1" applyBorder="1" applyAlignment="1">
      <alignment/>
    </xf>
    <xf numFmtId="43" fontId="46" fillId="26" borderId="16" xfId="53" applyFont="1" applyFill="1" applyBorder="1" applyAlignment="1">
      <alignment/>
    </xf>
    <xf numFmtId="0" fontId="48" fillId="26" borderId="0" xfId="99" applyFont="1" applyFill="1" applyAlignment="1">
      <alignment horizontal="right"/>
      <protection/>
    </xf>
    <xf numFmtId="0" fontId="48" fillId="26" borderId="0" xfId="99" applyFont="1" applyFill="1">
      <alignment/>
      <protection/>
    </xf>
    <xf numFmtId="0" fontId="48" fillId="26" borderId="0" xfId="99" applyFont="1" applyFill="1" applyAlignment="1">
      <alignment vertical="top"/>
      <protection/>
    </xf>
    <xf numFmtId="0" fontId="48" fillId="26" borderId="0" xfId="99" applyFont="1" applyFill="1" applyAlignment="1">
      <alignment horizontal="justify" vertical="top" wrapText="1"/>
      <protection/>
    </xf>
    <xf numFmtId="0" fontId="29" fillId="26" borderId="0" xfId="99" applyFont="1" applyFill="1" applyAlignment="1">
      <alignment/>
      <protection/>
    </xf>
    <xf numFmtId="0" fontId="29" fillId="26" borderId="0" xfId="99" applyFont="1" applyFill="1" applyAlignment="1">
      <alignment horizontal="justify"/>
      <protection/>
    </xf>
    <xf numFmtId="0" fontId="48" fillId="26" borderId="0" xfId="99" applyFont="1" applyFill="1" applyAlignment="1">
      <alignment horizontal="justify"/>
      <protection/>
    </xf>
    <xf numFmtId="0" fontId="29" fillId="26" borderId="0" xfId="99" applyFill="1">
      <alignment/>
      <protection/>
    </xf>
    <xf numFmtId="172" fontId="29" fillId="0" borderId="0" xfId="99" applyNumberFormat="1">
      <alignment/>
      <protection/>
    </xf>
    <xf numFmtId="0" fontId="42" fillId="0" borderId="0" xfId="0" applyFont="1" applyAlignment="1">
      <alignment/>
    </xf>
    <xf numFmtId="0" fontId="42" fillId="26" borderId="0" xfId="0" applyFont="1" applyFill="1" applyAlignment="1">
      <alignment/>
    </xf>
    <xf numFmtId="0" fontId="42" fillId="26" borderId="19" xfId="0" applyFont="1" applyFill="1" applyBorder="1" applyAlignment="1">
      <alignment horizontal="center"/>
    </xf>
    <xf numFmtId="0" fontId="42" fillId="26" borderId="20" xfId="0" applyFont="1" applyFill="1" applyBorder="1" applyAlignment="1">
      <alignment horizontal="center"/>
    </xf>
    <xf numFmtId="0" fontId="42" fillId="26" borderId="21" xfId="0" applyFont="1" applyFill="1" applyBorder="1" applyAlignment="1">
      <alignment horizontal="center"/>
    </xf>
    <xf numFmtId="0" fontId="42" fillId="26" borderId="22" xfId="0" applyFont="1" applyFill="1" applyBorder="1" applyAlignment="1">
      <alignment/>
    </xf>
    <xf numFmtId="0" fontId="42" fillId="26" borderId="23" xfId="0" applyFont="1" applyFill="1" applyBorder="1" applyAlignment="1">
      <alignment/>
    </xf>
    <xf numFmtId="0" fontId="42" fillId="26" borderId="24" xfId="0" applyFont="1" applyFill="1" applyBorder="1" applyAlignment="1">
      <alignment horizontal="center"/>
    </xf>
    <xf numFmtId="0" fontId="42" fillId="26" borderId="25" xfId="0" applyFont="1" applyFill="1" applyBorder="1" applyAlignment="1">
      <alignment/>
    </xf>
    <xf numFmtId="0" fontId="42" fillId="26" borderId="26" xfId="0" applyFont="1" applyFill="1" applyBorder="1" applyAlignment="1">
      <alignment/>
    </xf>
    <xf numFmtId="0" fontId="42" fillId="26" borderId="27" xfId="0" applyFont="1" applyFill="1" applyBorder="1" applyAlignment="1">
      <alignment/>
    </xf>
    <xf numFmtId="43" fontId="42" fillId="26" borderId="26" xfId="53" applyFont="1" applyFill="1" applyBorder="1" applyAlignment="1">
      <alignment/>
    </xf>
    <xf numFmtId="43" fontId="42" fillId="26" borderId="27" xfId="53" applyFont="1" applyFill="1" applyBorder="1" applyAlignment="1">
      <alignment/>
    </xf>
    <xf numFmtId="0" fontId="42" fillId="26" borderId="28" xfId="0" applyFont="1" applyFill="1" applyBorder="1" applyAlignment="1">
      <alignment/>
    </xf>
    <xf numFmtId="43" fontId="42" fillId="26" borderId="9" xfId="53" applyFont="1" applyFill="1" applyBorder="1" applyAlignment="1">
      <alignment/>
    </xf>
    <xf numFmtId="43" fontId="42" fillId="26" borderId="29" xfId="53" applyFont="1" applyFill="1" applyBorder="1" applyAlignment="1">
      <alignment/>
    </xf>
    <xf numFmtId="0" fontId="42" fillId="26" borderId="19" xfId="0" applyFont="1" applyFill="1" applyBorder="1" applyAlignment="1">
      <alignment/>
    </xf>
    <xf numFmtId="43" fontId="42" fillId="26" borderId="20" xfId="53" applyFont="1" applyFill="1" applyBorder="1" applyAlignment="1">
      <alignment/>
    </xf>
    <xf numFmtId="43" fontId="42" fillId="26" borderId="21" xfId="53" applyFont="1" applyFill="1" applyBorder="1" applyAlignment="1">
      <alignment/>
    </xf>
    <xf numFmtId="0" fontId="42" fillId="26" borderId="24" xfId="0" applyFont="1" applyFill="1" applyBorder="1" applyAlignment="1">
      <alignment/>
    </xf>
    <xf numFmtId="0" fontId="42" fillId="26" borderId="20" xfId="0" applyFont="1" applyFill="1" applyBorder="1" applyAlignment="1">
      <alignment/>
    </xf>
    <xf numFmtId="0" fontId="42" fillId="26" borderId="21" xfId="0" applyFont="1" applyFill="1" applyBorder="1" applyAlignment="1">
      <alignment/>
    </xf>
    <xf numFmtId="43" fontId="42" fillId="26" borderId="25" xfId="0" applyNumberFormat="1" applyFont="1" applyFill="1" applyBorder="1" applyAlignment="1">
      <alignment/>
    </xf>
    <xf numFmtId="43" fontId="42" fillId="26" borderId="26" xfId="0" applyNumberFormat="1" applyFont="1" applyFill="1" applyBorder="1" applyAlignment="1">
      <alignment/>
    </xf>
    <xf numFmtId="43" fontId="42" fillId="26" borderId="27" xfId="0" applyNumberFormat="1" applyFont="1" applyFill="1" applyBorder="1" applyAlignment="1">
      <alignment/>
    </xf>
    <xf numFmtId="0" fontId="42" fillId="0" borderId="0" xfId="0" applyFont="1" applyBorder="1" applyAlignment="1">
      <alignment/>
    </xf>
    <xf numFmtId="43" fontId="42" fillId="26" borderId="0" xfId="53" applyFont="1" applyFill="1" applyBorder="1" applyAlignment="1">
      <alignment/>
    </xf>
    <xf numFmtId="2" fontId="42" fillId="0" borderId="0" xfId="0" applyNumberFormat="1" applyFont="1" applyBorder="1" applyAlignment="1">
      <alignment/>
    </xf>
    <xf numFmtId="2" fontId="42" fillId="26" borderId="26" xfId="0" applyNumberFormat="1" applyFont="1" applyFill="1" applyBorder="1" applyAlignment="1">
      <alignment/>
    </xf>
    <xf numFmtId="0" fontId="49" fillId="0" borderId="0" xfId="0" applyFont="1" applyAlignment="1">
      <alignment/>
    </xf>
    <xf numFmtId="2" fontId="42" fillId="26" borderId="27" xfId="0" applyNumberFormat="1" applyFont="1" applyFill="1" applyBorder="1" applyAlignment="1">
      <alignment/>
    </xf>
    <xf numFmtId="0" fontId="7" fillId="0" borderId="0" xfId="98">
      <alignment/>
      <protection/>
    </xf>
    <xf numFmtId="0" fontId="45" fillId="0" borderId="0" xfId="98" applyFont="1">
      <alignment/>
      <protection/>
    </xf>
    <xf numFmtId="0" fontId="29" fillId="0" borderId="0" xfId="98" applyFont="1">
      <alignment/>
      <protection/>
    </xf>
    <xf numFmtId="0" fontId="29" fillId="0" borderId="0" xfId="98" applyFont="1" applyBorder="1">
      <alignment/>
      <protection/>
    </xf>
    <xf numFmtId="0" fontId="29" fillId="26" borderId="19" xfId="98" applyFont="1" applyFill="1" applyBorder="1">
      <alignment/>
      <protection/>
    </xf>
    <xf numFmtId="0" fontId="29" fillId="26" borderId="25" xfId="98" applyFont="1" applyFill="1" applyBorder="1">
      <alignment/>
      <protection/>
    </xf>
    <xf numFmtId="0" fontId="45" fillId="26" borderId="25" xfId="98" applyFont="1" applyFill="1" applyBorder="1">
      <alignment/>
      <protection/>
    </xf>
    <xf numFmtId="0" fontId="45" fillId="26" borderId="27" xfId="98" applyFont="1" applyFill="1" applyBorder="1">
      <alignment/>
      <protection/>
    </xf>
    <xf numFmtId="0" fontId="45" fillId="26" borderId="28" xfId="98" applyFont="1" applyFill="1" applyBorder="1">
      <alignment/>
      <protection/>
    </xf>
    <xf numFmtId="0" fontId="45" fillId="26" borderId="29" xfId="98" applyFont="1" applyFill="1" applyBorder="1">
      <alignment/>
      <protection/>
    </xf>
    <xf numFmtId="0" fontId="45" fillId="26" borderId="25" xfId="98" applyFont="1" applyFill="1" applyBorder="1" applyAlignment="1">
      <alignment horizontal="right"/>
      <protection/>
    </xf>
    <xf numFmtId="0" fontId="45" fillId="26" borderId="27" xfId="98" applyFont="1" applyFill="1" applyBorder="1" applyAlignment="1">
      <alignment horizontal="center"/>
      <protection/>
    </xf>
    <xf numFmtId="0" fontId="45" fillId="26" borderId="20" xfId="98" applyFont="1" applyFill="1" applyBorder="1" applyAlignment="1">
      <alignment horizontal="center"/>
      <protection/>
    </xf>
    <xf numFmtId="0" fontId="45" fillId="26" borderId="20" xfId="98" applyFont="1" applyFill="1" applyBorder="1" applyAlignment="1">
      <alignment horizontal="right"/>
      <protection/>
    </xf>
    <xf numFmtId="0" fontId="29" fillId="26" borderId="22" xfId="98" applyFont="1" applyFill="1" applyBorder="1">
      <alignment/>
      <protection/>
    </xf>
    <xf numFmtId="0" fontId="45" fillId="26" borderId="22" xfId="98" applyFont="1" applyFill="1" applyBorder="1" applyAlignment="1">
      <alignment horizontal="right"/>
      <protection/>
    </xf>
    <xf numFmtId="0" fontId="29" fillId="26" borderId="24" xfId="98" applyFont="1" applyFill="1" applyBorder="1">
      <alignment/>
      <protection/>
    </xf>
    <xf numFmtId="0" fontId="29" fillId="26" borderId="23" xfId="98" applyFont="1" applyFill="1" applyBorder="1">
      <alignment/>
      <protection/>
    </xf>
    <xf numFmtId="0" fontId="45" fillId="26" borderId="23" xfId="98" applyFont="1" applyFill="1" applyBorder="1" applyAlignment="1">
      <alignment horizontal="right"/>
      <protection/>
    </xf>
    <xf numFmtId="0" fontId="29" fillId="26" borderId="0" xfId="98" applyFont="1" applyFill="1" applyBorder="1">
      <alignment/>
      <protection/>
    </xf>
    <xf numFmtId="0" fontId="29" fillId="26" borderId="20" xfId="98" applyFont="1" applyFill="1" applyBorder="1">
      <alignment/>
      <protection/>
    </xf>
    <xf numFmtId="0" fontId="29" fillId="26" borderId="26" xfId="98" applyFont="1" applyFill="1" applyBorder="1">
      <alignment/>
      <protection/>
    </xf>
    <xf numFmtId="2" fontId="45" fillId="26" borderId="25" xfId="98" applyNumberFormat="1" applyFont="1" applyFill="1" applyBorder="1">
      <alignment/>
      <protection/>
    </xf>
    <xf numFmtId="2" fontId="45" fillId="26" borderId="0" xfId="98" applyNumberFormat="1" applyFont="1" applyFill="1" applyBorder="1">
      <alignment/>
      <protection/>
    </xf>
    <xf numFmtId="2" fontId="45" fillId="26" borderId="26" xfId="98" applyNumberFormat="1" applyFont="1" applyFill="1" applyBorder="1">
      <alignment/>
      <protection/>
    </xf>
    <xf numFmtId="0" fontId="45" fillId="26" borderId="25" xfId="98" applyFont="1" applyFill="1" applyBorder="1" applyAlignment="1">
      <alignment horizontal="left"/>
      <protection/>
    </xf>
    <xf numFmtId="2" fontId="45" fillId="26" borderId="28" xfId="98" applyNumberFormat="1" applyFont="1" applyFill="1" applyBorder="1">
      <alignment/>
      <protection/>
    </xf>
    <xf numFmtId="2" fontId="45" fillId="26" borderId="5" xfId="98" applyNumberFormat="1" applyFont="1" applyFill="1" applyBorder="1">
      <alignment/>
      <protection/>
    </xf>
    <xf numFmtId="2" fontId="45" fillId="26" borderId="9" xfId="98" applyNumberFormat="1" applyFont="1" applyFill="1" applyBorder="1">
      <alignment/>
      <protection/>
    </xf>
    <xf numFmtId="2" fontId="45" fillId="26" borderId="23" xfId="98" applyNumberFormat="1" applyFont="1" applyFill="1" applyBorder="1">
      <alignment/>
      <protection/>
    </xf>
    <xf numFmtId="2" fontId="45" fillId="26" borderId="20" xfId="98" applyNumberFormat="1" applyFont="1" applyFill="1" applyBorder="1">
      <alignment/>
      <protection/>
    </xf>
    <xf numFmtId="2" fontId="45" fillId="26" borderId="27" xfId="98" applyNumberFormat="1" applyFont="1" applyFill="1" applyBorder="1">
      <alignment/>
      <protection/>
    </xf>
    <xf numFmtId="2" fontId="45" fillId="26" borderId="29" xfId="98" applyNumberFormat="1" applyFont="1" applyFill="1" applyBorder="1">
      <alignment/>
      <protection/>
    </xf>
    <xf numFmtId="0" fontId="29" fillId="0" borderId="19" xfId="98" applyFont="1" applyBorder="1">
      <alignment/>
      <protection/>
    </xf>
    <xf numFmtId="0" fontId="45" fillId="0" borderId="0" xfId="98" applyFont="1" applyBorder="1">
      <alignment/>
      <protection/>
    </xf>
    <xf numFmtId="0" fontId="45" fillId="0" borderId="25" xfId="98" applyFont="1" applyBorder="1">
      <alignment/>
      <protection/>
    </xf>
    <xf numFmtId="0" fontId="45" fillId="0" borderId="27" xfId="98" applyFont="1" applyBorder="1">
      <alignment/>
      <protection/>
    </xf>
    <xf numFmtId="2" fontId="45" fillId="0" borderId="0" xfId="98" applyNumberFormat="1" applyFont="1" applyBorder="1">
      <alignment/>
      <protection/>
    </xf>
    <xf numFmtId="2" fontId="45" fillId="0" borderId="25" xfId="98" applyNumberFormat="1" applyFont="1" applyBorder="1">
      <alignment/>
      <protection/>
    </xf>
    <xf numFmtId="2" fontId="45" fillId="0" borderId="27" xfId="98" applyNumberFormat="1" applyFont="1" applyBorder="1">
      <alignment/>
      <protection/>
    </xf>
    <xf numFmtId="0" fontId="29" fillId="0" borderId="25" xfId="98" applyFont="1" applyBorder="1">
      <alignment/>
      <protection/>
    </xf>
    <xf numFmtId="0" fontId="29" fillId="0" borderId="27" xfId="98" applyFont="1" applyBorder="1">
      <alignment/>
      <protection/>
    </xf>
    <xf numFmtId="0" fontId="29" fillId="0" borderId="21" xfId="98" applyFont="1" applyBorder="1">
      <alignment/>
      <protection/>
    </xf>
    <xf numFmtId="2" fontId="45" fillId="0" borderId="28" xfId="98" applyNumberFormat="1" applyFont="1" applyBorder="1">
      <alignment/>
      <protection/>
    </xf>
    <xf numFmtId="2" fontId="45" fillId="0" borderId="29" xfId="98" applyNumberFormat="1" applyFont="1" applyBorder="1">
      <alignment/>
      <protection/>
    </xf>
    <xf numFmtId="0" fontId="29" fillId="0" borderId="22" xfId="98" applyFont="1" applyBorder="1">
      <alignment/>
      <protection/>
    </xf>
    <xf numFmtId="0" fontId="29" fillId="0" borderId="24" xfId="98" applyFont="1" applyBorder="1">
      <alignment/>
      <protection/>
    </xf>
    <xf numFmtId="1" fontId="45" fillId="0" borderId="25" xfId="98" applyNumberFormat="1" applyFont="1" applyBorder="1">
      <alignment/>
      <protection/>
    </xf>
    <xf numFmtId="2" fontId="7" fillId="0" borderId="0" xfId="98" applyNumberFormat="1">
      <alignment/>
      <protection/>
    </xf>
    <xf numFmtId="0" fontId="7" fillId="0" borderId="0" xfId="98" applyFont="1">
      <alignment/>
      <protection/>
    </xf>
    <xf numFmtId="0" fontId="51" fillId="0" borderId="0" xfId="0" applyFont="1" applyAlignment="1">
      <alignment/>
    </xf>
    <xf numFmtId="0" fontId="29" fillId="0" borderId="0" xfId="99" applyFont="1">
      <alignment/>
      <protection/>
    </xf>
    <xf numFmtId="0" fontId="48" fillId="26" borderId="0" xfId="99" applyFont="1" applyFill="1" applyAlignment="1">
      <alignment horizontal="justify" vertical="top"/>
      <protection/>
    </xf>
    <xf numFmtId="0" fontId="48" fillId="26" borderId="0" xfId="99" applyFont="1" applyFill="1" applyAlignment="1">
      <alignment horizontal="left" vertical="top"/>
      <protection/>
    </xf>
    <xf numFmtId="0" fontId="44" fillId="26" borderId="0" xfId="99" applyFont="1" applyFill="1" applyAlignment="1">
      <alignment horizontal="left"/>
      <protection/>
    </xf>
    <xf numFmtId="0" fontId="42" fillId="26" borderId="0" xfId="99" applyFont="1" applyFill="1" applyAlignment="1">
      <alignment/>
      <protection/>
    </xf>
    <xf numFmtId="0" fontId="43" fillId="26" borderId="0" xfId="99" applyFont="1" applyFill="1" applyAlignment="1">
      <alignment/>
      <protection/>
    </xf>
    <xf numFmtId="0" fontId="41" fillId="26" borderId="0" xfId="99" applyFont="1" applyFill="1" applyAlignment="1">
      <alignment horizontal="right"/>
      <protection/>
    </xf>
    <xf numFmtId="17" fontId="29" fillId="0" borderId="0" xfId="99" applyNumberFormat="1">
      <alignment/>
      <protection/>
    </xf>
    <xf numFmtId="0" fontId="52" fillId="26" borderId="0" xfId="99" applyFont="1" applyFill="1" applyAlignment="1">
      <alignment horizontal="justify" vertical="top" wrapText="1"/>
      <protection/>
    </xf>
    <xf numFmtId="0" fontId="53" fillId="26" borderId="0" xfId="99" applyFont="1" applyFill="1" applyAlignment="1">
      <alignment horizontal="justify"/>
      <protection/>
    </xf>
    <xf numFmtId="0" fontId="52" fillId="26" borderId="0" xfId="99" applyFont="1" applyFill="1" applyAlignment="1">
      <alignment horizontal="justify"/>
      <protection/>
    </xf>
    <xf numFmtId="0" fontId="52" fillId="26" borderId="0" xfId="99" applyFont="1" applyFill="1" applyAlignment="1">
      <alignment horizontal="center"/>
      <protection/>
    </xf>
    <xf numFmtId="0" fontId="52" fillId="26" borderId="0" xfId="99" applyFont="1" applyFill="1">
      <alignment/>
      <protection/>
    </xf>
    <xf numFmtId="0" fontId="7" fillId="0" borderId="0" xfId="98" applyFont="1" applyBorder="1">
      <alignment/>
      <protection/>
    </xf>
    <xf numFmtId="0" fontId="7" fillId="0" borderId="24" xfId="98" applyBorder="1">
      <alignment/>
      <protection/>
    </xf>
    <xf numFmtId="0" fontId="7" fillId="0" borderId="30" xfId="98" applyBorder="1">
      <alignment/>
      <protection/>
    </xf>
    <xf numFmtId="0" fontId="7" fillId="0" borderId="22" xfId="98" applyFont="1" applyBorder="1">
      <alignment/>
      <protection/>
    </xf>
    <xf numFmtId="0" fontId="7" fillId="0" borderId="23" xfId="98" applyBorder="1">
      <alignment/>
      <protection/>
    </xf>
    <xf numFmtId="0" fontId="7" fillId="0" borderId="0" xfId="98" applyBorder="1">
      <alignment/>
      <protection/>
    </xf>
    <xf numFmtId="0" fontId="50" fillId="0" borderId="26" xfId="98" applyFont="1" applyBorder="1">
      <alignment/>
      <protection/>
    </xf>
    <xf numFmtId="0" fontId="7" fillId="0" borderId="21" xfId="98" applyBorder="1">
      <alignment/>
      <protection/>
    </xf>
    <xf numFmtId="0" fontId="7" fillId="0" borderId="31" xfId="98" applyBorder="1">
      <alignment/>
      <protection/>
    </xf>
    <xf numFmtId="1" fontId="7" fillId="0" borderId="19" xfId="98" applyNumberFormat="1" applyFont="1" applyBorder="1">
      <alignment/>
      <protection/>
    </xf>
    <xf numFmtId="0" fontId="7" fillId="0" borderId="20" xfId="98" applyBorder="1">
      <alignment/>
      <protection/>
    </xf>
    <xf numFmtId="2" fontId="29" fillId="26" borderId="9" xfId="98" applyNumberFormat="1" applyFont="1" applyFill="1" applyBorder="1">
      <alignment/>
      <protection/>
    </xf>
    <xf numFmtId="0" fontId="45" fillId="26" borderId="9" xfId="98" applyFont="1" applyFill="1" applyBorder="1">
      <alignment/>
      <protection/>
    </xf>
    <xf numFmtId="2" fontId="29" fillId="26" borderId="26" xfId="98" applyNumberFormat="1" applyFont="1" applyFill="1" applyBorder="1">
      <alignment/>
      <protection/>
    </xf>
    <xf numFmtId="0" fontId="45" fillId="26" borderId="26" xfId="98" applyFont="1" applyFill="1" applyBorder="1">
      <alignment/>
      <protection/>
    </xf>
    <xf numFmtId="0" fontId="45" fillId="26" borderId="23" xfId="98" applyFont="1" applyFill="1" applyBorder="1">
      <alignment/>
      <protection/>
    </xf>
    <xf numFmtId="2" fontId="29" fillId="26" borderId="20" xfId="98" applyNumberFormat="1" applyFont="1" applyFill="1" applyBorder="1">
      <alignment/>
      <protection/>
    </xf>
    <xf numFmtId="0" fontId="45" fillId="26" borderId="20" xfId="98" applyFont="1" applyFill="1" applyBorder="1">
      <alignment/>
      <protection/>
    </xf>
    <xf numFmtId="0" fontId="45" fillId="26" borderId="26" xfId="98" applyFont="1" applyFill="1" applyBorder="1" applyAlignment="1">
      <alignment horizontal="left"/>
      <protection/>
    </xf>
    <xf numFmtId="0" fontId="45" fillId="26" borderId="26" xfId="98" applyFont="1" applyFill="1" applyBorder="1" applyAlignment="1">
      <alignment horizontal="center"/>
      <protection/>
    </xf>
    <xf numFmtId="0" fontId="45" fillId="26" borderId="26" xfId="98" applyFont="1" applyFill="1" applyBorder="1" applyAlignment="1">
      <alignment horizontal="right"/>
      <protection/>
    </xf>
    <xf numFmtId="0" fontId="45" fillId="0" borderId="29" xfId="98" applyFont="1" applyBorder="1">
      <alignment/>
      <protection/>
    </xf>
    <xf numFmtId="0" fontId="45" fillId="0" borderId="28" xfId="98" applyFont="1" applyBorder="1">
      <alignment/>
      <protection/>
    </xf>
    <xf numFmtId="14" fontId="29" fillId="0" borderId="0" xfId="98" applyNumberFormat="1" applyFont="1">
      <alignment/>
      <protection/>
    </xf>
    <xf numFmtId="14" fontId="45" fillId="0" borderId="0" xfId="98" applyNumberFormat="1" applyFont="1">
      <alignment/>
      <protection/>
    </xf>
    <xf numFmtId="0" fontId="7" fillId="0" borderId="22" xfId="98" applyBorder="1">
      <alignment/>
      <protection/>
    </xf>
    <xf numFmtId="2" fontId="7" fillId="0" borderId="31" xfId="98" applyNumberFormat="1" applyBorder="1">
      <alignment/>
      <protection/>
    </xf>
    <xf numFmtId="2" fontId="7" fillId="0" borderId="19" xfId="98" applyNumberFormat="1" applyBorder="1">
      <alignment/>
      <protection/>
    </xf>
    <xf numFmtId="0" fontId="29" fillId="26" borderId="0" xfId="99" applyFill="1" applyBorder="1">
      <alignment/>
      <protection/>
    </xf>
    <xf numFmtId="0" fontId="54" fillId="26" borderId="0" xfId="99" applyFont="1" applyFill="1">
      <alignment/>
      <protection/>
    </xf>
    <xf numFmtId="0" fontId="41" fillId="0" borderId="0" xfId="0" applyFont="1" applyAlignment="1">
      <alignment/>
    </xf>
    <xf numFmtId="0" fontId="42" fillId="0" borderId="14" xfId="0" applyFont="1" applyBorder="1" applyAlignment="1">
      <alignment/>
    </xf>
    <xf numFmtId="14" fontId="0" fillId="0" borderId="0" xfId="0" applyNumberFormat="1" applyAlignment="1">
      <alignment/>
    </xf>
    <xf numFmtId="0" fontId="0" fillId="0" borderId="20" xfId="0" applyBorder="1" applyAlignment="1">
      <alignment/>
    </xf>
    <xf numFmtId="0" fontId="41" fillId="0" borderId="32" xfId="0" applyFont="1" applyBorder="1" applyAlignment="1">
      <alignment horizontal="center"/>
    </xf>
    <xf numFmtId="0" fontId="41" fillId="0" borderId="33" xfId="0" applyFont="1" applyBorder="1" applyAlignment="1">
      <alignment horizontal="center"/>
    </xf>
    <xf numFmtId="0" fontId="41" fillId="0" borderId="34" xfId="0" applyFont="1" applyBorder="1" applyAlignment="1">
      <alignment horizontal="center"/>
    </xf>
    <xf numFmtId="0" fontId="42" fillId="0" borderId="35" xfId="0" applyFont="1" applyBorder="1" applyAlignment="1">
      <alignment/>
    </xf>
    <xf numFmtId="0" fontId="42" fillId="0" borderId="26" xfId="0" applyFont="1" applyBorder="1" applyAlignment="1">
      <alignment/>
    </xf>
    <xf numFmtId="0" fontId="41" fillId="0" borderId="36" xfId="0" applyFont="1" applyBorder="1" applyAlignment="1">
      <alignment/>
    </xf>
    <xf numFmtId="43" fontId="42" fillId="0" borderId="35" xfId="53" applyFont="1" applyBorder="1" applyAlignment="1">
      <alignment/>
    </xf>
    <xf numFmtId="43" fontId="42" fillId="0" borderId="26" xfId="53" applyFont="1" applyBorder="1" applyAlignment="1">
      <alignment/>
    </xf>
    <xf numFmtId="43" fontId="41" fillId="0" borderId="36" xfId="53" applyFont="1" applyBorder="1" applyAlignment="1">
      <alignment/>
    </xf>
    <xf numFmtId="43" fontId="41" fillId="0" borderId="35" xfId="53" applyFont="1" applyBorder="1" applyAlignment="1">
      <alignment/>
    </xf>
    <xf numFmtId="43" fontId="41" fillId="0" borderId="26" xfId="53" applyFont="1" applyBorder="1" applyAlignment="1">
      <alignment/>
    </xf>
    <xf numFmtId="43" fontId="42" fillId="0" borderId="36" xfId="53" applyFont="1" applyBorder="1" applyAlignment="1">
      <alignment/>
    </xf>
    <xf numFmtId="0" fontId="42" fillId="0" borderId="37" xfId="0" applyFont="1" applyBorder="1" applyAlignment="1">
      <alignment/>
    </xf>
    <xf numFmtId="43" fontId="42" fillId="0" borderId="37" xfId="53" applyFont="1" applyBorder="1" applyAlignment="1">
      <alignment/>
    </xf>
    <xf numFmtId="43" fontId="42" fillId="0" borderId="38" xfId="53" applyFont="1" applyBorder="1" applyAlignment="1">
      <alignment/>
    </xf>
    <xf numFmtId="43" fontId="41" fillId="0" borderId="39" xfId="53" applyFont="1" applyBorder="1" applyAlignment="1">
      <alignment/>
    </xf>
    <xf numFmtId="43" fontId="42" fillId="0" borderId="39" xfId="53" applyFont="1" applyBorder="1" applyAlignment="1">
      <alignment/>
    </xf>
    <xf numFmtId="43" fontId="41" fillId="0" borderId="0" xfId="0" applyNumberFormat="1" applyFont="1" applyAlignment="1">
      <alignment/>
    </xf>
    <xf numFmtId="43" fontId="42" fillId="0" borderId="0" xfId="0" applyNumberFormat="1" applyFont="1" applyAlignment="1">
      <alignment/>
    </xf>
    <xf numFmtId="0" fontId="0" fillId="0" borderId="21" xfId="0" applyBorder="1" applyAlignment="1">
      <alignment/>
    </xf>
    <xf numFmtId="0" fontId="51" fillId="0" borderId="26" xfId="0" applyFont="1" applyBorder="1" applyAlignment="1">
      <alignment/>
    </xf>
    <xf numFmtId="0" fontId="51" fillId="0" borderId="27" xfId="0" applyFont="1" applyBorder="1" applyAlignment="1">
      <alignment horizontal="right"/>
    </xf>
    <xf numFmtId="0" fontId="51" fillId="0" borderId="23" xfId="0" applyFont="1" applyBorder="1" applyAlignment="1">
      <alignment/>
    </xf>
    <xf numFmtId="0" fontId="51" fillId="0" borderId="24" xfId="0" applyFont="1" applyBorder="1" applyAlignment="1">
      <alignment horizontal="right"/>
    </xf>
    <xf numFmtId="0" fontId="0" fillId="0" borderId="26" xfId="0" applyBorder="1" applyAlignment="1" quotePrefix="1">
      <alignment/>
    </xf>
    <xf numFmtId="0" fontId="0" fillId="0" borderId="26" xfId="0" applyBorder="1" applyAlignment="1">
      <alignment/>
    </xf>
    <xf numFmtId="2" fontId="0" fillId="0" borderId="0" xfId="0" applyNumberFormat="1" applyAlignment="1">
      <alignment/>
    </xf>
    <xf numFmtId="0" fontId="0" fillId="0" borderId="23" xfId="0" applyBorder="1" applyAlignment="1">
      <alignment/>
    </xf>
    <xf numFmtId="0" fontId="0" fillId="0" borderId="24" xfId="0" applyBorder="1" applyAlignment="1">
      <alignment/>
    </xf>
    <xf numFmtId="1" fontId="0" fillId="0" borderId="0" xfId="0" applyNumberFormat="1" applyAlignment="1">
      <alignment/>
    </xf>
    <xf numFmtId="2" fontId="0" fillId="0" borderId="27" xfId="0" applyNumberFormat="1" applyBorder="1" applyAlignment="1">
      <alignment/>
    </xf>
    <xf numFmtId="2" fontId="0" fillId="0" borderId="27" xfId="0" applyNumberFormat="1" applyBorder="1" applyAlignment="1">
      <alignment horizontal="right"/>
    </xf>
    <xf numFmtId="2" fontId="0" fillId="0" borderId="21" xfId="0" applyNumberFormat="1" applyBorder="1" applyAlignment="1">
      <alignment/>
    </xf>
    <xf numFmtId="2" fontId="51" fillId="0" borderId="27" xfId="0" applyNumberFormat="1" applyFont="1" applyBorder="1" applyAlignment="1">
      <alignment/>
    </xf>
    <xf numFmtId="0" fontId="0" fillId="0" borderId="26" xfId="0" applyBorder="1" applyAlignment="1" quotePrefix="1">
      <alignment horizontal="left"/>
    </xf>
    <xf numFmtId="0" fontId="52" fillId="26" borderId="0" xfId="99" applyFont="1" applyFill="1" applyAlignment="1">
      <alignment horizontal="justify" vertical="justify" wrapText="1"/>
      <protection/>
    </xf>
    <xf numFmtId="0" fontId="42" fillId="0" borderId="0" xfId="98" applyFont="1" applyBorder="1">
      <alignment/>
      <protection/>
    </xf>
    <xf numFmtId="0" fontId="41" fillId="0" borderId="0" xfId="98" applyFont="1" applyBorder="1">
      <alignment/>
      <protection/>
    </xf>
    <xf numFmtId="2" fontId="41" fillId="0" borderId="0" xfId="98" applyNumberFormat="1" applyFont="1" applyBorder="1">
      <alignment/>
      <protection/>
    </xf>
    <xf numFmtId="2" fontId="42" fillId="0" borderId="0" xfId="98" applyNumberFormat="1" applyFont="1" applyBorder="1">
      <alignment/>
      <protection/>
    </xf>
    <xf numFmtId="0" fontId="41" fillId="26" borderId="0" xfId="98" applyFont="1" applyFill="1" applyBorder="1">
      <alignment/>
      <protection/>
    </xf>
    <xf numFmtId="0" fontId="42" fillId="26" borderId="0" xfId="98" applyFont="1" applyFill="1" applyBorder="1">
      <alignment/>
      <protection/>
    </xf>
    <xf numFmtId="0" fontId="41" fillId="0" borderId="14" xfId="98" applyFont="1" applyBorder="1">
      <alignment/>
      <protection/>
    </xf>
    <xf numFmtId="0" fontId="41" fillId="0" borderId="14" xfId="98" applyFont="1" applyBorder="1" applyAlignment="1">
      <alignment horizontal="center"/>
      <protection/>
    </xf>
    <xf numFmtId="0" fontId="42" fillId="0" borderId="15" xfId="98" applyFont="1" applyBorder="1">
      <alignment/>
      <protection/>
    </xf>
    <xf numFmtId="0" fontId="41" fillId="0" borderId="15" xfId="98" applyFont="1" applyBorder="1" applyAlignment="1">
      <alignment horizontal="center"/>
      <protection/>
    </xf>
    <xf numFmtId="0" fontId="41" fillId="0" borderId="15" xfId="98" applyFont="1" applyBorder="1">
      <alignment/>
      <protection/>
    </xf>
    <xf numFmtId="2" fontId="41" fillId="0" borderId="15" xfId="98" applyNumberFormat="1" applyFont="1" applyBorder="1">
      <alignment/>
      <protection/>
    </xf>
    <xf numFmtId="0" fontId="41" fillId="0" borderId="15" xfId="98" applyFont="1" applyBorder="1" applyAlignment="1">
      <alignment horizontal="left"/>
      <protection/>
    </xf>
    <xf numFmtId="2" fontId="41" fillId="0" borderId="15" xfId="98" applyNumberFormat="1" applyFont="1" applyFill="1" applyBorder="1">
      <alignment/>
      <protection/>
    </xf>
    <xf numFmtId="0" fontId="41" fillId="0" borderId="16" xfId="98" applyFont="1" applyBorder="1">
      <alignment/>
      <protection/>
    </xf>
    <xf numFmtId="0" fontId="42" fillId="0" borderId="16" xfId="98" applyFont="1" applyBorder="1">
      <alignment/>
      <protection/>
    </xf>
    <xf numFmtId="0" fontId="41" fillId="0" borderId="16" xfId="98" applyFont="1" applyBorder="1" applyAlignment="1">
      <alignment horizontal="center"/>
      <protection/>
    </xf>
    <xf numFmtId="0" fontId="41" fillId="0" borderId="17" xfId="98" applyFont="1" applyBorder="1">
      <alignment/>
      <protection/>
    </xf>
    <xf numFmtId="2" fontId="41" fillId="0" borderId="17" xfId="98" applyNumberFormat="1" applyFont="1" applyBorder="1">
      <alignment/>
      <protection/>
    </xf>
    <xf numFmtId="2" fontId="41" fillId="0" borderId="14" xfId="98" applyNumberFormat="1" applyFont="1" applyBorder="1">
      <alignment/>
      <protection/>
    </xf>
    <xf numFmtId="2" fontId="41" fillId="0" borderId="16" xfId="98" applyNumberFormat="1" applyFont="1" applyBorder="1">
      <alignment/>
      <protection/>
    </xf>
    <xf numFmtId="0" fontId="44" fillId="0" borderId="0" xfId="98" applyFont="1" applyBorder="1">
      <alignment/>
      <protection/>
    </xf>
    <xf numFmtId="0" fontId="41" fillId="0" borderId="0" xfId="98" applyFont="1" applyFill="1" applyBorder="1">
      <alignment/>
      <protection/>
    </xf>
    <xf numFmtId="0" fontId="42" fillId="0" borderId="15" xfId="98" applyFont="1" applyFill="1" applyBorder="1">
      <alignment/>
      <protection/>
    </xf>
    <xf numFmtId="0" fontId="41" fillId="0" borderId="16" xfId="98" applyFont="1" applyFill="1" applyBorder="1">
      <alignment/>
      <protection/>
    </xf>
    <xf numFmtId="2" fontId="41" fillId="0" borderId="17" xfId="98" applyNumberFormat="1" applyFont="1" applyFill="1" applyBorder="1">
      <alignment/>
      <protection/>
    </xf>
    <xf numFmtId="2" fontId="41" fillId="0" borderId="14" xfId="98" applyNumberFormat="1" applyFont="1" applyFill="1" applyBorder="1">
      <alignment/>
      <protection/>
    </xf>
    <xf numFmtId="2" fontId="41" fillId="0" borderId="16" xfId="98" applyNumberFormat="1" applyFont="1" applyFill="1" applyBorder="1">
      <alignment/>
      <protection/>
    </xf>
    <xf numFmtId="0" fontId="41" fillId="0" borderId="35" xfId="98" applyFont="1" applyBorder="1">
      <alignment/>
      <protection/>
    </xf>
    <xf numFmtId="2" fontId="41" fillId="0" borderId="36" xfId="98" applyNumberFormat="1" applyFont="1" applyBorder="1">
      <alignment/>
      <protection/>
    </xf>
    <xf numFmtId="0" fontId="43" fillId="26" borderId="35" xfId="99" applyFont="1" applyFill="1" applyBorder="1" applyAlignment="1">
      <alignment horizontal="center"/>
      <protection/>
    </xf>
    <xf numFmtId="10" fontId="44" fillId="26" borderId="36" xfId="53" applyNumberFormat="1" applyFont="1" applyFill="1" applyBorder="1" applyAlignment="1">
      <alignment/>
    </xf>
    <xf numFmtId="0" fontId="44" fillId="26" borderId="40" xfId="99" applyFont="1" applyFill="1" applyBorder="1">
      <alignment/>
      <protection/>
    </xf>
    <xf numFmtId="0" fontId="44" fillId="26" borderId="35" xfId="99" applyFont="1" applyFill="1" applyBorder="1">
      <alignment/>
      <protection/>
    </xf>
    <xf numFmtId="0" fontId="44" fillId="26" borderId="37" xfId="99" applyFont="1" applyFill="1" applyBorder="1">
      <alignment/>
      <protection/>
    </xf>
    <xf numFmtId="0" fontId="43" fillId="26" borderId="40" xfId="99" applyFont="1" applyFill="1" applyBorder="1" applyAlignment="1">
      <alignment horizontal="center"/>
      <protection/>
    </xf>
    <xf numFmtId="0" fontId="43" fillId="26" borderId="37" xfId="99" applyFont="1" applyFill="1" applyBorder="1" applyAlignment="1">
      <alignment horizontal="center"/>
      <protection/>
    </xf>
    <xf numFmtId="0" fontId="44" fillId="26" borderId="41" xfId="99" applyFont="1" applyFill="1" applyBorder="1" applyAlignment="1">
      <alignment horizontal="center"/>
      <protection/>
    </xf>
    <xf numFmtId="0" fontId="44" fillId="26" borderId="36" xfId="99" applyFont="1" applyFill="1" applyBorder="1" applyAlignment="1">
      <alignment horizontal="center"/>
      <protection/>
    </xf>
    <xf numFmtId="0" fontId="44" fillId="26" borderId="39" xfId="99" applyFont="1" applyFill="1" applyBorder="1" applyAlignment="1">
      <alignment horizontal="center"/>
      <protection/>
    </xf>
    <xf numFmtId="0" fontId="44" fillId="26" borderId="34" xfId="99" applyFont="1" applyFill="1" applyBorder="1" applyAlignment="1">
      <alignment horizontal="center"/>
      <protection/>
    </xf>
    <xf numFmtId="0" fontId="43" fillId="26" borderId="36" xfId="99" applyFont="1" applyFill="1" applyBorder="1">
      <alignment/>
      <protection/>
    </xf>
    <xf numFmtId="43" fontId="43" fillId="26" borderId="36" xfId="53" applyFont="1" applyFill="1" applyBorder="1" applyAlignment="1">
      <alignment/>
    </xf>
    <xf numFmtId="43" fontId="44" fillId="26" borderId="42" xfId="53" applyFont="1" applyFill="1" applyBorder="1" applyAlignment="1">
      <alignment/>
    </xf>
    <xf numFmtId="43" fontId="44" fillId="26" borderId="36" xfId="53" applyFont="1" applyFill="1" applyBorder="1" applyAlignment="1">
      <alignment/>
    </xf>
    <xf numFmtId="172" fontId="44" fillId="26" borderId="36" xfId="53" applyNumberFormat="1" applyFont="1" applyFill="1" applyBorder="1" applyAlignment="1">
      <alignment/>
    </xf>
    <xf numFmtId="43" fontId="43" fillId="26" borderId="39" xfId="53" applyFont="1" applyFill="1" applyBorder="1" applyAlignment="1">
      <alignment/>
    </xf>
    <xf numFmtId="0" fontId="44" fillId="26" borderId="15" xfId="0" applyFont="1" applyFill="1" applyBorder="1" applyAlignment="1">
      <alignment vertical="top" wrapText="1"/>
    </xf>
    <xf numFmtId="43" fontId="43" fillId="0" borderId="15" xfId="53" applyFont="1" applyFill="1" applyBorder="1" applyAlignment="1">
      <alignment/>
    </xf>
    <xf numFmtId="43" fontId="46" fillId="0" borderId="15" xfId="53" applyFont="1" applyFill="1" applyBorder="1" applyAlignment="1">
      <alignment/>
    </xf>
    <xf numFmtId="0" fontId="41" fillId="0" borderId="37" xfId="98" applyFont="1" applyBorder="1" applyAlignment="1">
      <alignment horizontal="center"/>
      <protection/>
    </xf>
    <xf numFmtId="0" fontId="41" fillId="0" borderId="39" xfId="98" applyFont="1" applyBorder="1" applyAlignment="1">
      <alignment horizontal="center"/>
      <protection/>
    </xf>
    <xf numFmtId="1" fontId="41" fillId="26" borderId="0" xfId="98" applyNumberFormat="1" applyFont="1" applyFill="1" applyBorder="1" applyAlignment="1">
      <alignment horizontal="center"/>
      <protection/>
    </xf>
    <xf numFmtId="17" fontId="41" fillId="0" borderId="40" xfId="0" applyNumberFormat="1" applyFont="1" applyBorder="1" applyAlignment="1">
      <alignment horizontal="center"/>
    </xf>
    <xf numFmtId="0" fontId="52" fillId="26" borderId="0" xfId="99" applyFont="1" applyFill="1" applyAlignment="1">
      <alignment horizontal="center"/>
      <protection/>
    </xf>
    <xf numFmtId="0" fontId="52" fillId="26" borderId="0" xfId="99" applyFont="1" applyFill="1" applyAlignment="1">
      <alignment horizontal="justify" vertical="top" wrapText="1"/>
      <protection/>
    </xf>
    <xf numFmtId="0" fontId="54" fillId="26" borderId="0" xfId="99" applyFont="1" applyFill="1" applyAlignment="1">
      <alignment horizontal="left"/>
      <protection/>
    </xf>
    <xf numFmtId="0" fontId="39" fillId="26" borderId="0" xfId="99" applyFont="1" applyFill="1" applyAlignment="1">
      <alignment horizontal="center"/>
      <protection/>
    </xf>
    <xf numFmtId="0" fontId="44" fillId="26" borderId="0" xfId="99" applyFont="1" applyFill="1" applyAlignment="1">
      <alignment horizontal="center"/>
      <protection/>
    </xf>
    <xf numFmtId="0" fontId="41" fillId="26" borderId="0" xfId="99" applyFont="1" applyFill="1" applyAlignment="1">
      <alignment horizontal="center"/>
      <protection/>
    </xf>
    <xf numFmtId="0" fontId="52" fillId="26" borderId="0" xfId="99" applyFont="1" applyFill="1" applyAlignment="1">
      <alignment horizontal="justify" vertical="justify" wrapText="1"/>
      <protection/>
    </xf>
    <xf numFmtId="0" fontId="42" fillId="26" borderId="0" xfId="99" applyFont="1" applyFill="1" applyAlignment="1">
      <alignment horizontal="left"/>
      <protection/>
    </xf>
    <xf numFmtId="0" fontId="48" fillId="26" borderId="0" xfId="99" applyFont="1" applyFill="1" applyAlignment="1">
      <alignment horizontal="justify" vertical="top" wrapText="1"/>
      <protection/>
    </xf>
    <xf numFmtId="0" fontId="45" fillId="26" borderId="19" xfId="98" applyFont="1" applyFill="1" applyBorder="1" applyAlignment="1">
      <alignment horizontal="center"/>
      <protection/>
    </xf>
    <xf numFmtId="0" fontId="45" fillId="26" borderId="21" xfId="98" applyFont="1" applyFill="1" applyBorder="1" applyAlignment="1">
      <alignment horizontal="center"/>
      <protection/>
    </xf>
    <xf numFmtId="0" fontId="45" fillId="26" borderId="28" xfId="98" applyFont="1" applyFill="1" applyBorder="1" applyAlignment="1">
      <alignment horizontal="center"/>
      <protection/>
    </xf>
    <xf numFmtId="0" fontId="45" fillId="26" borderId="29" xfId="98" applyFont="1" applyFill="1" applyBorder="1" applyAlignment="1">
      <alignment horizontal="center"/>
      <protection/>
    </xf>
    <xf numFmtId="1" fontId="50" fillId="0" borderId="25" xfId="98" applyNumberFormat="1" applyFont="1" applyBorder="1" applyAlignment="1">
      <alignment horizontal="center"/>
      <protection/>
    </xf>
    <xf numFmtId="1" fontId="50" fillId="0" borderId="27" xfId="98" applyNumberFormat="1" applyFont="1" applyBorder="1" applyAlignment="1">
      <alignment horizontal="center"/>
      <protection/>
    </xf>
    <xf numFmtId="0" fontId="50" fillId="0" borderId="25" xfId="98" applyFont="1" applyBorder="1" applyAlignment="1">
      <alignment horizontal="center"/>
      <protection/>
    </xf>
    <xf numFmtId="0" fontId="50" fillId="0" borderId="27" xfId="98" applyFont="1" applyBorder="1" applyAlignment="1">
      <alignment horizontal="center"/>
      <protection/>
    </xf>
    <xf numFmtId="0" fontId="45" fillId="26" borderId="9" xfId="98" applyFont="1" applyFill="1" applyBorder="1" applyAlignment="1">
      <alignment horizontal="center"/>
      <protection/>
    </xf>
    <xf numFmtId="0" fontId="45" fillId="26" borderId="20" xfId="98" applyFont="1" applyFill="1" applyBorder="1" applyAlignment="1">
      <alignment horizontal="center"/>
      <protection/>
    </xf>
    <xf numFmtId="0" fontId="45" fillId="26" borderId="26" xfId="98" applyFont="1" applyFill="1" applyBorder="1" applyAlignment="1">
      <alignment horizontal="center"/>
      <protection/>
    </xf>
    <xf numFmtId="0" fontId="41" fillId="0" borderId="32" xfId="98" applyFont="1" applyBorder="1" applyAlignment="1">
      <alignment horizontal="center"/>
      <protection/>
    </xf>
    <xf numFmtId="0" fontId="41" fillId="0" borderId="34" xfId="98" applyFont="1" applyBorder="1" applyAlignment="1">
      <alignment horizontal="center"/>
      <protection/>
    </xf>
    <xf numFmtId="17" fontId="41" fillId="0" borderId="43" xfId="0" applyNumberFormat="1" applyFont="1" applyBorder="1" applyAlignment="1">
      <alignment horizontal="center"/>
    </xf>
    <xf numFmtId="17" fontId="41" fillId="0" borderId="41" xfId="0" applyNumberFormat="1" applyFont="1" applyBorder="1" applyAlignment="1">
      <alignment horizontal="center"/>
    </xf>
    <xf numFmtId="17" fontId="41" fillId="0" borderId="32" xfId="0" applyNumberFormat="1" applyFont="1" applyBorder="1" applyAlignment="1">
      <alignment horizontal="center"/>
    </xf>
    <xf numFmtId="17" fontId="41" fillId="0" borderId="4" xfId="0" applyNumberFormat="1" applyFont="1" applyBorder="1" applyAlignment="1">
      <alignment horizontal="center"/>
    </xf>
    <xf numFmtId="17" fontId="41" fillId="0" borderId="34" xfId="0" applyNumberFormat="1" applyFont="1" applyBorder="1" applyAlignment="1">
      <alignment horizontal="center"/>
    </xf>
    <xf numFmtId="0" fontId="45" fillId="0" borderId="28" xfId="98" applyFont="1" applyBorder="1" applyAlignment="1">
      <alignment horizontal="center"/>
      <protection/>
    </xf>
    <xf numFmtId="0" fontId="45" fillId="0" borderId="29" xfId="98" applyFont="1" applyBorder="1" applyAlignment="1">
      <alignment horizontal="center"/>
      <protection/>
    </xf>
    <xf numFmtId="0" fontId="50" fillId="0" borderId="28" xfId="98" applyFont="1" applyBorder="1" applyAlignment="1">
      <alignment horizontal="center"/>
      <protection/>
    </xf>
    <xf numFmtId="0" fontId="50" fillId="0" borderId="29" xfId="98" applyFont="1" applyBorder="1" applyAlignment="1">
      <alignment horizontal="center"/>
      <protection/>
    </xf>
  </cellXfs>
  <cellStyles count="111">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rgs.style" xfId="40"/>
    <cellStyle name="Bad" xfId="41"/>
    <cellStyle name="Body" xfId="42"/>
    <cellStyle name="Calc Currency (0)" xfId="43"/>
    <cellStyle name="Calc Currency (2)" xfId="44"/>
    <cellStyle name="Calc Percent (0)" xfId="45"/>
    <cellStyle name="Calc Percent (1)" xfId="46"/>
    <cellStyle name="Calc Percent (2)" xfId="47"/>
    <cellStyle name="Calc Units (0)" xfId="48"/>
    <cellStyle name="Calc Units (1)" xfId="49"/>
    <cellStyle name="Calc Units (2)" xfId="50"/>
    <cellStyle name="Calculation" xfId="51"/>
    <cellStyle name="Check Cell" xfId="52"/>
    <cellStyle name="Comma" xfId="53"/>
    <cellStyle name="Comma [0]" xfId="54"/>
    <cellStyle name="Comma [00]" xfId="55"/>
    <cellStyle name="Copied" xfId="56"/>
    <cellStyle name="COST1" xfId="57"/>
    <cellStyle name="Currency" xfId="58"/>
    <cellStyle name="Currency [0]" xfId="59"/>
    <cellStyle name="Currency [00]" xfId="60"/>
    <cellStyle name="Date Short" xfId="61"/>
    <cellStyle name="DELTA" xfId="62"/>
    <cellStyle name="Enter Currency (0)" xfId="63"/>
    <cellStyle name="Enter Currency (2)" xfId="64"/>
    <cellStyle name="Enter Units (0)" xfId="65"/>
    <cellStyle name="Enter Units (1)" xfId="66"/>
    <cellStyle name="Enter Units (2)" xfId="67"/>
    <cellStyle name="Entered" xfId="68"/>
    <cellStyle name="Explanatory Text" xfId="69"/>
    <cellStyle name="Followed Hyperlink" xfId="70"/>
    <cellStyle name="Good" xfId="71"/>
    <cellStyle name="Grey" xfId="72"/>
    <cellStyle name="Header1" xfId="73"/>
    <cellStyle name="Header2" xfId="74"/>
    <cellStyle name="Heading 1" xfId="75"/>
    <cellStyle name="Heading 2" xfId="76"/>
    <cellStyle name="Heading 3" xfId="77"/>
    <cellStyle name="Heading 4" xfId="78"/>
    <cellStyle name="Hyperlink" xfId="79"/>
    <cellStyle name="Input" xfId="80"/>
    <cellStyle name="Input [yellow]" xfId="81"/>
    <cellStyle name="Input Cells" xfId="82"/>
    <cellStyle name="Input_Clause 41 format" xfId="83"/>
    <cellStyle name="Link Currency (0)" xfId="84"/>
    <cellStyle name="Link Currency (2)" xfId="85"/>
    <cellStyle name="Link Units (0)" xfId="86"/>
    <cellStyle name="Link Units (1)" xfId="87"/>
    <cellStyle name="Link Units (2)" xfId="88"/>
    <cellStyle name="Linked Cell" xfId="89"/>
    <cellStyle name="Linked Cells" xfId="90"/>
    <cellStyle name="Milliers [0]_!!!GO" xfId="91"/>
    <cellStyle name="Milliers_!!!GO" xfId="92"/>
    <cellStyle name="Monétaire [0]_!!!GO" xfId="93"/>
    <cellStyle name="Monétaire_!!!GO" xfId="94"/>
    <cellStyle name="Neutral" xfId="95"/>
    <cellStyle name="no dec" xfId="96"/>
    <cellStyle name="Normal - Style1" xfId="97"/>
    <cellStyle name="Normal_P&amp;L" xfId="98"/>
    <cellStyle name="Normal_Stock Exchange Format-Excell sheet" xfId="99"/>
    <cellStyle name="Note" xfId="100"/>
    <cellStyle name="Œ…‹æØ‚è [0.00]_Region Orders (2)" xfId="101"/>
    <cellStyle name="Œ…‹æØ‚è_Region Orders (2)" xfId="102"/>
    <cellStyle name="Output" xfId="103"/>
    <cellStyle name="paint" xfId="104"/>
    <cellStyle name="per.style" xfId="105"/>
    <cellStyle name="Percent" xfId="106"/>
    <cellStyle name="Percent [0]" xfId="107"/>
    <cellStyle name="Percent [00]" xfId="108"/>
    <cellStyle name="Percent [2]" xfId="109"/>
    <cellStyle name="PrePop Currency (0)" xfId="110"/>
    <cellStyle name="PrePop Currency (2)" xfId="111"/>
    <cellStyle name="PrePop Units (0)" xfId="112"/>
    <cellStyle name="PrePop Units (1)" xfId="113"/>
    <cellStyle name="PrePop Units (2)" xfId="114"/>
    <cellStyle name="pricing" xfId="115"/>
    <cellStyle name="PSChar" xfId="116"/>
    <cellStyle name="RevList" xfId="117"/>
    <cellStyle name="Style 1" xfId="118"/>
    <cellStyle name="Subtotal" xfId="119"/>
    <cellStyle name="Text Indent A" xfId="120"/>
    <cellStyle name="Text Indent B" xfId="121"/>
    <cellStyle name="Text Indent C" xfId="122"/>
    <cellStyle name="Title" xfId="123"/>
    <cellStyle name="Total" xfId="124"/>
    <cellStyle name="Warning Text" xfId="1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ORBES\corp_fin\M%20J\FY%2004-05\FGL%2004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sdl\Accounts%20%20Common\Accounts\Accounts%20%20Common\03%20Bank%20Related\01%20Interest%20Working\02%20EPC%20Interest%202001-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ORBES\corp_fin\Cashflow\M05\Audits%20(Statutory%20&amp;%20Tax)\K%20Girdharlal\K.%20Girdharlal%20-%20Partnership%20Firm\Financial%20Statements\2003-2004\K%20Girdharlal%20working%20file%202003-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hilips\my%20documents\My%20Business\Tax_Audit\Fy%2001\D%20Ashok%20&amp;%20Son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RMalgi\Desktop\Financials%2008-09-GTL%20Dec%2008\Dec,08%20QTR-final\REVIEW_Dec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WINDOWS\Temporary%20Internet%20Files\Content.IE5\Q9I7QV6N\OTHEREXPDEC0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ook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ma"/>
      <sheetName val="ProfitTally"/>
      <sheetName val="Tally"/>
      <sheetName val="Cashflow working"/>
      <sheetName val="Cashflow"/>
      <sheetName val="FGLLOANS&amp;ADVANCES"/>
      <sheetName val="BSeet"/>
      <sheetName val="ContraSales"/>
      <sheetName val="P&amp;L"/>
      <sheetName val="Sch1"/>
      <sheetName val="Sch2"/>
      <sheetName val="Sch3"/>
      <sheetName val="Sch4"/>
      <sheetName val="Sch5"/>
      <sheetName val="Sch6"/>
      <sheetName val="Sch7"/>
      <sheetName val="Sch8"/>
      <sheetName val="Sch9 "/>
      <sheetName val="Sch10"/>
      <sheetName val="Check"/>
      <sheetName val="Comparative"/>
      <sheetName val="Control-Ac."/>
      <sheetName val="TaxWorking"/>
      <sheetName val="VRS"/>
    </sheetNames>
    <sheetDataSet>
      <sheetData sheetId="3">
        <row r="63">
          <cell r="B63">
            <v>-69895475</v>
          </cell>
        </row>
        <row r="73">
          <cell r="B73">
            <v>92095432</v>
          </cell>
        </row>
        <row r="85">
          <cell r="B85">
            <v>392954989</v>
          </cell>
          <cell r="H85">
            <v>856615844</v>
          </cell>
        </row>
        <row r="97">
          <cell r="B97">
            <v>-123757844</v>
          </cell>
        </row>
        <row r="104">
          <cell r="B104">
            <v>856615844</v>
          </cell>
          <cell r="E104">
            <v>682582764</v>
          </cell>
        </row>
        <row r="154">
          <cell r="B154">
            <v>4829035</v>
          </cell>
        </row>
        <row r="166">
          <cell r="B166">
            <v>-35424782</v>
          </cell>
        </row>
        <row r="174">
          <cell r="B174">
            <v>4851426</v>
          </cell>
        </row>
        <row r="183">
          <cell r="E183">
            <v>1991538</v>
          </cell>
        </row>
        <row r="194">
          <cell r="B194">
            <v>11549598</v>
          </cell>
        </row>
        <row r="223">
          <cell r="B223">
            <v>-56323626</v>
          </cell>
        </row>
        <row r="236">
          <cell r="B236">
            <v>22342773</v>
          </cell>
        </row>
        <row r="249">
          <cell r="B249">
            <v>232836272</v>
          </cell>
        </row>
        <row r="260">
          <cell r="B260">
            <v>86551455</v>
          </cell>
        </row>
        <row r="281">
          <cell r="B281">
            <v>615983987</v>
          </cell>
          <cell r="E281">
            <v>521966636</v>
          </cell>
        </row>
        <row r="286">
          <cell r="E286">
            <v>159070600</v>
          </cell>
        </row>
        <row r="289">
          <cell r="B289">
            <v>406275437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2 EPC Interest 2001-02"/>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rged tb"/>
      <sheetName val="FIX ASSETS WORKING"/>
      <sheetName val="SURAT - Addition"/>
      <sheetName val="DEP MUMBAI addition"/>
      <sheetName val="IT DEP-DEF TAX"/>
      <sheetName val="B.S. groupings p.y"/>
      <sheetName val="P&amp;L Grouping"/>
      <sheetName val="P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000"/>
      <sheetName val="BS_PL"/>
      <sheetName val="Cap"/>
      <sheetName val="Sch"/>
      <sheetName val="ITDepn"/>
      <sheetName val="Loan"/>
      <sheetName val="Ratios"/>
      <sheetName val="80 HHC"/>
    </sheetNames>
    <sheetDataSet>
      <sheetData sheetId="2">
        <row r="1">
          <cell r="H1" t="str">
            <v>D. ASHOK &amp; SONS</v>
          </cell>
        </row>
        <row r="2">
          <cell r="H2" t="str">
            <v>ASST YEAR 2001-2002</v>
          </cell>
        </row>
        <row r="3">
          <cell r="H3" t="str">
            <v>31-3-2001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ock Exchange format Sept 08"/>
      <sheetName val="GTL BUDGT VS ACTUAL SEPT 08 "/>
      <sheetName val="GMD BUDGT VS ACTUAL SEPT 08 "/>
      <sheetName val="FCK BUDGT VS ACTUAL SEPT 08"/>
      <sheetName val="P &amp; L GTL -  UP TO DEC 08 "/>
      <sheetName val="GTL DEC 07 VS DEC 08."/>
      <sheetName val="GMD DEC 07 VS DEC 08"/>
      <sheetName val="FCKD DEC 07 VS DEC 08"/>
      <sheetName val="COST PER KG "/>
      <sheetName val="YARN_YIELD _%"/>
      <sheetName val="POWER"/>
      <sheetName val="Cum Sales Dec 08"/>
      <sheetName val="Other Expn-details"/>
      <sheetName val="tt (3)"/>
      <sheetName val="PRODUCT"/>
      <sheetName val="CAPITAL_EMP_GTL"/>
      <sheetName val="CAPITAL_EMP_GMD"/>
      <sheetName val="CAPITAL_EMP_FCKD"/>
      <sheetName val="INVENTORY"/>
      <sheetName val="Reco"/>
      <sheetName val="Analysis"/>
      <sheetName val="GMD VS FCKD_TRANSACTION"/>
      <sheetName val="GTL SEPT 08 "/>
      <sheetName val="P and L-June 08"/>
      <sheetName val="P and L-Sept 08 "/>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Other Expn"/>
      <sheetName val="tt (3)"/>
    </sheetNames>
    <sheetDataSet>
      <sheetData sheetId="1">
        <row r="23">
          <cell r="A23" t="str">
            <v>RENT \ RATE &amp; TAXES</v>
          </cell>
        </row>
        <row r="30">
          <cell r="A30" t="str">
            <v>STAMP &amp; POSTAGE CHARGES</v>
          </cell>
        </row>
        <row r="40">
          <cell r="A40" t="str">
            <v>TELEGRAM \TELEPHONE\FAX\INERNET</v>
          </cell>
        </row>
        <row r="56">
          <cell r="A56" t="str">
            <v>LEGAL &amp; PROFESSIONAL FEES \ AUDIT FEES</v>
          </cell>
        </row>
        <row r="63">
          <cell r="A63" t="str">
            <v>DOUBTFUL DEBTS</v>
          </cell>
        </row>
        <row r="69">
          <cell r="A69" t="str">
            <v>STATIONERY &amp; PRINTING</v>
          </cell>
        </row>
        <row r="75">
          <cell r="A75" t="str">
            <v>MOTOR CAR EXPENSES</v>
          </cell>
        </row>
        <row r="82">
          <cell r="A82" t="str">
            <v>MOTOR CAR EXPENSES.STAFF</v>
          </cell>
        </row>
        <row r="89">
          <cell r="A89" t="str">
            <v>VRS PAYMENT \ PRIOR PERIOD EXPENSES</v>
          </cell>
        </row>
        <row r="103">
          <cell r="A103" t="str">
            <v>FINANCE CHARGES</v>
          </cell>
        </row>
        <row r="118">
          <cell r="A118" t="str">
            <v>INSURANCE CHARGES</v>
          </cell>
        </row>
        <row r="131">
          <cell r="A131" t="str">
            <v>TRAVELLING EXPENSES</v>
          </cell>
        </row>
        <row r="172">
          <cell r="A172" t="str">
            <v>ADMINISTRATIVE  EXPENSES</v>
          </cell>
        </row>
        <row r="209">
          <cell r="A209" t="str">
            <v>OTHER EXPENSES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GMD_COMP_BUDG VS ACTUAL"/>
      <sheetName val="Sheet1"/>
      <sheetName val="GLANCE SHEET"/>
      <sheetName val="ROCE"/>
      <sheetName val="P and L"/>
      <sheetName val="Balance Sheet"/>
      <sheetName val="Addition-FA"/>
      <sheetName val="Cash Flow-CG Format"/>
      <sheetName val="P &amp; L GTL - For DEC 08 "/>
      <sheetName val="P &amp; L GTL - UPTO DEC 08 "/>
      <sheetName val="Product Track"/>
      <sheetName val="P &amp; L GTL - For FEB 09"/>
      <sheetName val="P &amp; L GTL - UPTO MAR 09"/>
      <sheetName val="cash flow statement-Malg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W74"/>
  <sheetViews>
    <sheetView zoomScalePageLayoutView="0" workbookViewId="0" topLeftCell="A17">
      <selection activeCell="T21" sqref="T21"/>
    </sheetView>
  </sheetViews>
  <sheetFormatPr defaultColWidth="10.28125" defaultRowHeight="12.75"/>
  <cols>
    <col min="1" max="1" width="3.00390625" style="1" customWidth="1"/>
    <col min="2" max="2" width="7.140625" style="1" customWidth="1"/>
    <col min="3" max="3" width="70.00390625" style="1" customWidth="1"/>
    <col min="4" max="9" width="17.140625" style="1" hidden="1" customWidth="1"/>
    <col min="10" max="13" width="17.140625" style="1" customWidth="1"/>
    <col min="14" max="14" width="15.8515625" style="1" bestFit="1" customWidth="1"/>
    <col min="15" max="15" width="6.140625" style="1" customWidth="1"/>
    <col min="16" max="16" width="12.7109375" style="1" customWidth="1"/>
    <col min="17" max="18" width="10.28125" style="1" customWidth="1"/>
    <col min="19" max="19" width="11.140625" style="1" bestFit="1" customWidth="1"/>
    <col min="20" max="20" width="13.7109375" style="1" customWidth="1"/>
    <col min="21" max="16384" width="10.28125" style="1" customWidth="1"/>
  </cols>
  <sheetData>
    <row r="1" spans="2:15" ht="12.75" hidden="1">
      <c r="B1" s="2"/>
      <c r="C1" s="2"/>
      <c r="D1" s="2"/>
      <c r="E1" s="2"/>
      <c r="F1" s="2"/>
      <c r="G1" s="2"/>
      <c r="H1" s="2"/>
      <c r="I1" s="2"/>
      <c r="J1" s="2"/>
      <c r="K1" s="2"/>
      <c r="L1" s="2"/>
      <c r="M1" s="2"/>
      <c r="N1" s="2"/>
      <c r="O1" s="2"/>
    </row>
    <row r="2" spans="2:17" ht="12.75" hidden="1">
      <c r="B2" s="2"/>
      <c r="C2" s="2"/>
      <c r="D2" s="2"/>
      <c r="E2" s="2"/>
      <c r="F2" s="2"/>
      <c r="G2" s="2"/>
      <c r="H2" s="2"/>
      <c r="I2" s="2"/>
      <c r="J2" s="2"/>
      <c r="K2" s="2"/>
      <c r="L2" s="2"/>
      <c r="M2" s="2"/>
      <c r="N2" s="2"/>
      <c r="O2" s="2"/>
      <c r="Q2" s="3"/>
    </row>
    <row r="3" spans="2:15" ht="23.25" hidden="1">
      <c r="B3" s="275" t="s">
        <v>0</v>
      </c>
      <c r="C3" s="275"/>
      <c r="D3" s="275"/>
      <c r="E3" s="275"/>
      <c r="F3" s="275"/>
      <c r="G3" s="275"/>
      <c r="H3" s="275"/>
      <c r="I3" s="275"/>
      <c r="J3" s="275"/>
      <c r="K3" s="275"/>
      <c r="L3" s="275"/>
      <c r="M3" s="275"/>
      <c r="N3" s="275"/>
      <c r="O3" s="4"/>
    </row>
    <row r="4" spans="2:15" ht="12.75" hidden="1">
      <c r="B4" s="277" t="s">
        <v>1</v>
      </c>
      <c r="C4" s="277"/>
      <c r="D4" s="277"/>
      <c r="E4" s="277"/>
      <c r="F4" s="277"/>
      <c r="G4" s="277"/>
      <c r="H4" s="277"/>
      <c r="I4" s="277"/>
      <c r="J4" s="277"/>
      <c r="K4" s="277"/>
      <c r="L4" s="277"/>
      <c r="M4" s="277"/>
      <c r="N4" s="277"/>
      <c r="O4" s="2"/>
    </row>
    <row r="5" spans="2:15" ht="12.75">
      <c r="B5" s="5"/>
      <c r="C5" s="5"/>
      <c r="D5" s="5"/>
      <c r="E5" s="5"/>
      <c r="F5" s="5"/>
      <c r="G5" s="5"/>
      <c r="H5" s="5"/>
      <c r="I5" s="5"/>
      <c r="J5" s="5"/>
      <c r="K5" s="5"/>
      <c r="L5" s="5"/>
      <c r="M5" s="5"/>
      <c r="N5" s="5"/>
      <c r="O5" s="2"/>
    </row>
    <row r="6" spans="2:15" ht="12.75">
      <c r="B6" s="5"/>
      <c r="C6" s="5"/>
      <c r="D6" s="5"/>
      <c r="E6" s="5"/>
      <c r="F6" s="5"/>
      <c r="G6" s="5"/>
      <c r="H6" s="5"/>
      <c r="I6" s="5"/>
      <c r="J6" s="5"/>
      <c r="K6" s="5"/>
      <c r="L6" s="5"/>
      <c r="M6" s="5"/>
      <c r="N6" s="5"/>
      <c r="O6" s="2"/>
    </row>
    <row r="7" spans="2:15" ht="12.75">
      <c r="B7" s="5"/>
      <c r="C7" s="5"/>
      <c r="D7" s="5"/>
      <c r="E7" s="5"/>
      <c r="F7" s="5"/>
      <c r="G7" s="5"/>
      <c r="H7" s="5"/>
      <c r="I7" s="5"/>
      <c r="J7" s="5"/>
      <c r="K7" s="5"/>
      <c r="L7" s="5"/>
      <c r="M7" s="5"/>
      <c r="N7" s="5"/>
      <c r="O7" s="2"/>
    </row>
    <row r="8" spans="2:15" ht="12.75">
      <c r="B8" s="5"/>
      <c r="C8" s="5"/>
      <c r="D8" s="5"/>
      <c r="E8" s="5"/>
      <c r="F8" s="5"/>
      <c r="G8" s="5"/>
      <c r="H8" s="5"/>
      <c r="I8" s="5"/>
      <c r="J8" s="5"/>
      <c r="K8" s="5"/>
      <c r="L8" s="5"/>
      <c r="M8" s="5"/>
      <c r="N8" s="5"/>
      <c r="O8" s="2"/>
    </row>
    <row r="9" spans="2:15" ht="16.5">
      <c r="B9" s="6"/>
      <c r="C9" s="7" t="s">
        <v>2</v>
      </c>
      <c r="D9" s="6"/>
      <c r="E9" s="6"/>
      <c r="F9" s="6"/>
      <c r="G9" s="6"/>
      <c r="H9" s="6"/>
      <c r="I9" s="6"/>
      <c r="J9" s="6"/>
      <c r="K9" s="6"/>
      <c r="L9" s="6"/>
      <c r="M9" s="6"/>
      <c r="N9" s="2"/>
      <c r="O9" s="2"/>
    </row>
    <row r="10" spans="2:20" ht="16.5">
      <c r="B10" s="6"/>
      <c r="C10" s="7" t="s">
        <v>3</v>
      </c>
      <c r="D10" s="6"/>
      <c r="E10" s="6"/>
      <c r="F10" s="6"/>
      <c r="G10" s="6"/>
      <c r="H10" s="6"/>
      <c r="I10" s="6"/>
      <c r="J10" s="6"/>
      <c r="K10" s="6"/>
      <c r="L10" s="6"/>
      <c r="M10" s="6"/>
      <c r="N10" s="2"/>
      <c r="O10" s="2"/>
      <c r="S10" s="142">
        <v>39234</v>
      </c>
      <c r="T10" s="142">
        <v>39326</v>
      </c>
    </row>
    <row r="11" spans="2:21" ht="16.5">
      <c r="B11" s="6"/>
      <c r="C11" s="7" t="s">
        <v>4</v>
      </c>
      <c r="D11" s="6"/>
      <c r="E11" s="6"/>
      <c r="F11" s="6"/>
      <c r="G11" s="6"/>
      <c r="H11" s="6"/>
      <c r="I11" s="6"/>
      <c r="J11" s="6"/>
      <c r="K11" s="6"/>
      <c r="L11" s="6"/>
      <c r="M11" s="6"/>
      <c r="N11" s="2"/>
      <c r="O11" s="2"/>
      <c r="S11" s="1">
        <v>-15724821</v>
      </c>
      <c r="T11" s="1">
        <v>-21576555</v>
      </c>
      <c r="U11" s="1">
        <f>+T11-S11</f>
        <v>-5851734</v>
      </c>
    </row>
    <row r="12" spans="2:15" ht="16.5">
      <c r="B12" s="6"/>
      <c r="C12" s="7" t="s">
        <v>5</v>
      </c>
      <c r="D12" s="6"/>
      <c r="E12" s="6"/>
      <c r="F12" s="6"/>
      <c r="G12" s="6"/>
      <c r="H12" s="6"/>
      <c r="I12" s="6"/>
      <c r="J12" s="6"/>
      <c r="K12" s="6"/>
      <c r="L12" s="6"/>
      <c r="M12" s="6"/>
      <c r="N12" s="2"/>
      <c r="O12" s="2"/>
    </row>
    <row r="13" spans="2:15" ht="16.5">
      <c r="B13" s="6"/>
      <c r="C13" s="7" t="s">
        <v>6</v>
      </c>
      <c r="D13" s="6"/>
      <c r="E13" s="6"/>
      <c r="F13" s="6"/>
      <c r="G13" s="6"/>
      <c r="H13" s="6"/>
      <c r="I13" s="6"/>
      <c r="J13" s="6"/>
      <c r="K13" s="6"/>
      <c r="L13" s="6"/>
      <c r="M13" s="6"/>
      <c r="N13" s="2"/>
      <c r="O13" s="2"/>
    </row>
    <row r="14" spans="2:21" ht="15">
      <c r="B14" s="6"/>
      <c r="C14" s="6"/>
      <c r="D14" s="6"/>
      <c r="E14" s="6"/>
      <c r="F14" s="6"/>
      <c r="G14" s="6"/>
      <c r="H14" s="6"/>
      <c r="I14" s="6"/>
      <c r="J14" s="6"/>
      <c r="K14" s="6"/>
      <c r="L14" s="6"/>
      <c r="M14" s="6"/>
      <c r="N14" s="2"/>
      <c r="O14" s="2"/>
      <c r="S14" s="1">
        <v>9572515</v>
      </c>
      <c r="T14" s="1">
        <v>22378930</v>
      </c>
      <c r="U14" s="1">
        <f>+T14-S14</f>
        <v>12806415</v>
      </c>
    </row>
    <row r="15" spans="2:15" ht="16.5">
      <c r="B15" s="6"/>
      <c r="C15" s="7" t="s">
        <v>7</v>
      </c>
      <c r="D15" s="6"/>
      <c r="E15" s="6"/>
      <c r="F15" s="6"/>
      <c r="G15" s="6"/>
      <c r="H15" s="6"/>
      <c r="I15" s="6"/>
      <c r="J15" s="6"/>
      <c r="K15" s="6"/>
      <c r="L15" s="6"/>
      <c r="M15" s="6"/>
      <c r="N15" s="2"/>
      <c r="O15" s="2"/>
    </row>
    <row r="16" spans="2:15" ht="15">
      <c r="B16" s="6"/>
      <c r="C16" s="6"/>
      <c r="D16" s="6"/>
      <c r="E16" s="6"/>
      <c r="F16" s="6"/>
      <c r="G16" s="6"/>
      <c r="H16" s="6"/>
      <c r="I16" s="6"/>
      <c r="J16" s="6"/>
      <c r="K16" s="6"/>
      <c r="L16" s="6"/>
      <c r="M16" s="6"/>
      <c r="N16" s="2"/>
      <c r="O16" s="2"/>
    </row>
    <row r="17" spans="2:15" ht="15.75">
      <c r="B17" s="276" t="s">
        <v>8</v>
      </c>
      <c r="C17" s="276"/>
      <c r="D17" s="276"/>
      <c r="E17" s="276"/>
      <c r="F17" s="276"/>
      <c r="G17" s="276"/>
      <c r="H17" s="276"/>
      <c r="I17" s="276"/>
      <c r="J17" s="276"/>
      <c r="K17" s="276"/>
      <c r="L17" s="276"/>
      <c r="M17" s="276"/>
      <c r="N17" s="276"/>
      <c r="O17" s="2"/>
    </row>
    <row r="18" spans="2:15" ht="15.75">
      <c r="B18" s="276" t="s">
        <v>178</v>
      </c>
      <c r="C18" s="276"/>
      <c r="D18" s="276"/>
      <c r="E18" s="276"/>
      <c r="F18" s="276"/>
      <c r="G18" s="276"/>
      <c r="H18" s="276"/>
      <c r="I18" s="276"/>
      <c r="J18" s="276"/>
      <c r="K18" s="276"/>
      <c r="L18" s="276"/>
      <c r="M18" s="276"/>
      <c r="N18" s="276"/>
      <c r="O18" s="2"/>
    </row>
    <row r="19" spans="2:15" ht="7.5" customHeight="1">
      <c r="B19" s="8"/>
      <c r="C19" s="6"/>
      <c r="D19" s="6"/>
      <c r="E19" s="6"/>
      <c r="F19" s="6"/>
      <c r="G19" s="6"/>
      <c r="H19" s="6"/>
      <c r="I19" s="6"/>
      <c r="J19" s="6"/>
      <c r="K19" s="6"/>
      <c r="L19" s="6"/>
      <c r="M19" s="6"/>
      <c r="N19" s="2"/>
      <c r="O19" s="2"/>
    </row>
    <row r="20" spans="2:15" ht="16.5">
      <c r="B20" s="7" t="s">
        <v>179</v>
      </c>
      <c r="C20" s="9"/>
      <c r="D20" s="6"/>
      <c r="E20" s="6"/>
      <c r="F20" s="6"/>
      <c r="G20" s="6"/>
      <c r="H20" s="6"/>
      <c r="I20" s="6"/>
      <c r="J20" s="6"/>
      <c r="K20" s="6"/>
      <c r="L20" s="6"/>
      <c r="M20" s="6"/>
      <c r="N20" s="2"/>
      <c r="O20" s="2"/>
    </row>
    <row r="21" spans="2:17" ht="13.5" thickBot="1">
      <c r="B21" s="8"/>
      <c r="C21" s="8"/>
      <c r="D21" s="8"/>
      <c r="E21" s="8"/>
      <c r="F21" s="8"/>
      <c r="G21" s="8"/>
      <c r="H21" s="8"/>
      <c r="I21" s="8"/>
      <c r="J21" s="8"/>
      <c r="K21" s="8"/>
      <c r="L21" s="8"/>
      <c r="M21" s="8"/>
      <c r="N21" s="10" t="s">
        <v>9</v>
      </c>
      <c r="O21" s="11"/>
      <c r="Q21" s="135"/>
    </row>
    <row r="22" spans="2:14" ht="15.75">
      <c r="B22" s="12"/>
      <c r="C22" s="12"/>
      <c r="D22" s="13" t="s">
        <v>59</v>
      </c>
      <c r="E22" s="13" t="s">
        <v>59</v>
      </c>
      <c r="F22" s="13" t="s">
        <v>60</v>
      </c>
      <c r="G22" s="13" t="s">
        <v>60</v>
      </c>
      <c r="H22" s="13" t="s">
        <v>61</v>
      </c>
      <c r="I22" s="13" t="s">
        <v>61</v>
      </c>
      <c r="J22" s="13" t="s">
        <v>167</v>
      </c>
      <c r="K22" s="13" t="s">
        <v>167</v>
      </c>
      <c r="L22" s="13" t="s">
        <v>180</v>
      </c>
      <c r="M22" s="13" t="s">
        <v>180</v>
      </c>
      <c r="N22" s="14" t="s">
        <v>10</v>
      </c>
    </row>
    <row r="23" spans="2:14" ht="15.75">
      <c r="B23" s="15" t="s">
        <v>11</v>
      </c>
      <c r="C23" s="15" t="s">
        <v>12</v>
      </c>
      <c r="D23" s="16"/>
      <c r="E23" s="16"/>
      <c r="F23" s="16"/>
      <c r="G23" s="16"/>
      <c r="H23" s="16" t="s">
        <v>13</v>
      </c>
      <c r="I23" s="16" t="s">
        <v>13</v>
      </c>
      <c r="J23" s="16" t="s">
        <v>13</v>
      </c>
      <c r="K23" s="16" t="s">
        <v>13</v>
      </c>
      <c r="L23" s="16" t="s">
        <v>13</v>
      </c>
      <c r="M23" s="16" t="s">
        <v>13</v>
      </c>
      <c r="N23" s="17" t="s">
        <v>13</v>
      </c>
    </row>
    <row r="24" spans="2:14" ht="16.5" thickBot="1">
      <c r="B24" s="18"/>
      <c r="C24" s="18"/>
      <c r="D24" s="19" t="s">
        <v>14</v>
      </c>
      <c r="E24" s="19" t="s">
        <v>15</v>
      </c>
      <c r="F24" s="16" t="s">
        <v>155</v>
      </c>
      <c r="G24" s="16" t="s">
        <v>146</v>
      </c>
      <c r="H24" s="19" t="s">
        <v>62</v>
      </c>
      <c r="I24" s="19" t="s">
        <v>63</v>
      </c>
      <c r="J24" s="19" t="s">
        <v>162</v>
      </c>
      <c r="K24" s="19" t="s">
        <v>161</v>
      </c>
      <c r="L24" s="19" t="s">
        <v>162</v>
      </c>
      <c r="M24" s="19" t="s">
        <v>161</v>
      </c>
      <c r="N24" s="20" t="s">
        <v>16</v>
      </c>
    </row>
    <row r="25" spans="2:14" ht="16.5" thickBot="1">
      <c r="B25" s="21"/>
      <c r="C25" s="22"/>
      <c r="D25" s="23" t="s">
        <v>17</v>
      </c>
      <c r="E25" s="24" t="s">
        <v>18</v>
      </c>
      <c r="F25" s="23" t="s">
        <v>17</v>
      </c>
      <c r="G25" s="24" t="s">
        <v>18</v>
      </c>
      <c r="H25" s="23" t="s">
        <v>17</v>
      </c>
      <c r="I25" s="24" t="s">
        <v>18</v>
      </c>
      <c r="J25" s="23" t="s">
        <v>17</v>
      </c>
      <c r="K25" s="24" t="s">
        <v>18</v>
      </c>
      <c r="L25" s="23" t="s">
        <v>17</v>
      </c>
      <c r="M25" s="24" t="s">
        <v>18</v>
      </c>
      <c r="N25" s="24" t="s">
        <v>19</v>
      </c>
    </row>
    <row r="26" spans="2:14" ht="15.75">
      <c r="B26" s="25"/>
      <c r="C26" s="26"/>
      <c r="D26" s="26"/>
      <c r="E26" s="27"/>
      <c r="F26" s="26"/>
      <c r="G26" s="26"/>
      <c r="H26" s="26"/>
      <c r="I26" s="26"/>
      <c r="J26" s="26"/>
      <c r="K26" s="26"/>
      <c r="L26" s="26"/>
      <c r="M26" s="26"/>
      <c r="N26" s="27"/>
    </row>
    <row r="27" spans="2:17" ht="15.75">
      <c r="B27" s="25">
        <v>1</v>
      </c>
      <c r="C27" s="15" t="s">
        <v>20</v>
      </c>
      <c r="D27" s="28">
        <v>6569.42</v>
      </c>
      <c r="E27" s="29">
        <f>8178.43-235.92</f>
        <v>7942.51</v>
      </c>
      <c r="F27" s="28">
        <f>+H27-D27</f>
        <v>6874.959999999999</v>
      </c>
      <c r="G27" s="28">
        <f>+I27-E27</f>
        <v>7908.99</v>
      </c>
      <c r="H27" s="28">
        <v>13444.38</v>
      </c>
      <c r="I27" s="28">
        <v>15851.5</v>
      </c>
      <c r="J27" s="28">
        <f>+L27-H27</f>
        <v>6597.120000000001</v>
      </c>
      <c r="K27" s="28">
        <f>+M27-I27</f>
        <v>8596.937069999996</v>
      </c>
      <c r="L27" s="28">
        <f>+'GTL DEC 07 VS DEC 08..'!G10+'GTL DEC 07 VS DEC 08..'!G12+'GTL DEC 07 VS DEC 08..'!G14</f>
        <v>20041.5</v>
      </c>
      <c r="M27" s="28">
        <f>+'GTL DEC 07 VS DEC 08..'!E10+'GTL DEC 07 VS DEC 08..'!E12+'GTL DEC 07 VS DEC 08..'!E14</f>
        <v>24448.437069999996</v>
      </c>
      <c r="N27" s="29">
        <f>32831.35</f>
        <v>32831.35</v>
      </c>
      <c r="P27" s="133" t="s">
        <v>137</v>
      </c>
      <c r="Q27" s="84"/>
    </row>
    <row r="28" spans="2:23" ht="15.75">
      <c r="B28" s="25">
        <v>2</v>
      </c>
      <c r="C28" s="26" t="s">
        <v>21</v>
      </c>
      <c r="D28" s="28">
        <f>289.15</f>
        <v>289.15</v>
      </c>
      <c r="E28" s="29">
        <f>176.45+157.24</f>
        <v>333.69</v>
      </c>
      <c r="F28" s="28">
        <f>+H28-D28</f>
        <v>257.52</v>
      </c>
      <c r="G28" s="28">
        <f>+I28-E28</f>
        <v>405.16</v>
      </c>
      <c r="H28" s="28">
        <v>546.67</v>
      </c>
      <c r="I28" s="28">
        <v>738.85</v>
      </c>
      <c r="J28" s="28">
        <f>+L28-H28</f>
        <v>241.35000000000002</v>
      </c>
      <c r="K28" s="28">
        <f>+M28-I28</f>
        <v>308.09797000000015</v>
      </c>
      <c r="L28" s="28">
        <f>+'GTL DEC 07 VS DEC 08..'!G16+'GTL DEC 07 VS DEC 08..'!G18+'GTL DEC 07 VS DEC 08..'!G20</f>
        <v>788.02</v>
      </c>
      <c r="M28" s="28">
        <f>+'GTL DEC 07 VS DEC 08..'!E16+'GTL DEC 07 VS DEC 08..'!E18+'GTL DEC 07 VS DEC 08..'!E20-'GTL DEC 07 VS DEC 08..'!E56</f>
        <v>1046.9479700000002</v>
      </c>
      <c r="N28" s="29">
        <f>1346.45+167.29</f>
        <v>1513.74</v>
      </c>
      <c r="P28" s="84"/>
      <c r="Q28" s="133" t="s">
        <v>169</v>
      </c>
      <c r="R28" s="135" t="s">
        <v>168</v>
      </c>
      <c r="V28" s="1">
        <f>21576555-15724821</f>
        <v>5851734</v>
      </c>
      <c r="W28" s="135" t="s">
        <v>157</v>
      </c>
    </row>
    <row r="29" spans="2:18" ht="15.75">
      <c r="B29" s="25">
        <v>3</v>
      </c>
      <c r="C29" s="15" t="s">
        <v>22</v>
      </c>
      <c r="D29" s="30">
        <f aca="true" t="shared" si="0" ref="D29:N29">+D27+D28</f>
        <v>6858.57</v>
      </c>
      <c r="E29" s="31">
        <f t="shared" si="0"/>
        <v>8276.2</v>
      </c>
      <c r="F29" s="31">
        <f t="shared" si="0"/>
        <v>7132.48</v>
      </c>
      <c r="G29" s="31">
        <f t="shared" si="0"/>
        <v>8314.15</v>
      </c>
      <c r="H29" s="31">
        <v>13991.05</v>
      </c>
      <c r="I29" s="31">
        <v>16590.35</v>
      </c>
      <c r="J29" s="31">
        <f>+J27+J28</f>
        <v>6838.470000000001</v>
      </c>
      <c r="K29" s="31">
        <f t="shared" si="0"/>
        <v>8905.035039999997</v>
      </c>
      <c r="L29" s="31">
        <f>SUM(L27:L28)</f>
        <v>20829.52</v>
      </c>
      <c r="M29" s="31">
        <f>SUM(M27:M28)</f>
        <v>25495.385039999997</v>
      </c>
      <c r="N29" s="31">
        <f t="shared" si="0"/>
        <v>34345.09</v>
      </c>
      <c r="P29" s="133" t="s">
        <v>138</v>
      </c>
      <c r="Q29" s="84">
        <v>976.96</v>
      </c>
      <c r="R29" s="1">
        <v>924.59</v>
      </c>
    </row>
    <row r="30" spans="2:22" ht="15.75">
      <c r="B30" s="25">
        <v>4</v>
      </c>
      <c r="C30" s="15" t="s">
        <v>23</v>
      </c>
      <c r="D30" s="28"/>
      <c r="E30" s="29"/>
      <c r="F30" s="28"/>
      <c r="G30" s="28"/>
      <c r="H30" s="28"/>
      <c r="I30" s="28"/>
      <c r="J30" s="28"/>
      <c r="K30" s="28"/>
      <c r="L30" s="28"/>
      <c r="M30" s="28"/>
      <c r="N30" s="29"/>
      <c r="P30" s="133" t="s">
        <v>139</v>
      </c>
      <c r="Q30" s="84">
        <v>35.49</v>
      </c>
      <c r="R30" s="1">
        <v>0</v>
      </c>
      <c r="V30" s="135">
        <f>22378930-9572515</f>
        <v>12806415</v>
      </c>
    </row>
    <row r="31" spans="1:18" ht="15.75">
      <c r="A31" s="1">
        <v>8</v>
      </c>
      <c r="B31" s="25"/>
      <c r="C31" s="26" t="s">
        <v>24</v>
      </c>
      <c r="D31" s="28">
        <v>-266.73</v>
      </c>
      <c r="E31" s="29">
        <v>-728.46</v>
      </c>
      <c r="F31" s="28">
        <f aca="true" t="shared" si="1" ref="F31:F36">+H31-D31</f>
        <v>225.97000000000003</v>
      </c>
      <c r="G31" s="28">
        <f aca="true" t="shared" si="2" ref="G31:G37">+I31-E31</f>
        <v>-679.3299999999999</v>
      </c>
      <c r="H31" s="28">
        <v>-40.76</v>
      </c>
      <c r="I31" s="28">
        <v>-1407.79</v>
      </c>
      <c r="J31" s="28">
        <f aca="true" t="shared" si="3" ref="J31:K37">+L31-H31</f>
        <v>-770.66</v>
      </c>
      <c r="K31" s="28">
        <f t="shared" si="3"/>
        <v>-642.9257400000001</v>
      </c>
      <c r="L31" s="28">
        <f>+'GTL DEC 07 VS DEC 08..'!G32</f>
        <v>-811.42</v>
      </c>
      <c r="M31" s="28">
        <f>+'GTL DEC 07 VS DEC 08..'!E32</f>
        <v>-2050.71574</v>
      </c>
      <c r="N31" s="29">
        <v>-730.6</v>
      </c>
      <c r="P31" s="133" t="s">
        <v>140</v>
      </c>
      <c r="Q31" s="84">
        <v>2.66</v>
      </c>
      <c r="R31" s="1">
        <v>0</v>
      </c>
    </row>
    <row r="32" spans="2:18" ht="15.75">
      <c r="B32" s="25"/>
      <c r="C32" s="26" t="s">
        <v>25</v>
      </c>
      <c r="D32" s="28">
        <f>3859.4+3.33</f>
        <v>3862.73</v>
      </c>
      <c r="E32" s="29">
        <f>5162.57-235.92</f>
        <v>4926.65</v>
      </c>
      <c r="F32" s="28">
        <f t="shared" si="1"/>
        <v>2929.2900000000004</v>
      </c>
      <c r="G32" s="28">
        <f t="shared" si="2"/>
        <v>4324.26</v>
      </c>
      <c r="H32" s="28">
        <v>6792.02</v>
      </c>
      <c r="I32" s="28">
        <v>9250.91</v>
      </c>
      <c r="J32" s="28">
        <f t="shared" si="3"/>
        <v>4172.779999999999</v>
      </c>
      <c r="K32" s="28">
        <f t="shared" si="3"/>
        <v>4964.157510000001</v>
      </c>
      <c r="L32" s="28">
        <f>+'GTL DEC 07 VS DEC 08..'!G26+'GTL DEC 07 VS DEC 08..'!G28</f>
        <v>10964.8</v>
      </c>
      <c r="M32" s="28">
        <f>+'GTL DEC 07 VS DEC 08..'!E26+'GTL DEC 07 VS DEC 08..'!E28</f>
        <v>14215.06751</v>
      </c>
      <c r="N32" s="29">
        <v>19592.66</v>
      </c>
      <c r="P32" s="135"/>
      <c r="Q32" s="1">
        <f>SUM(Q29:Q31)</f>
        <v>1015.11</v>
      </c>
      <c r="R32" s="1">
        <f>SUM(R29:R31)</f>
        <v>924.59</v>
      </c>
    </row>
    <row r="33" spans="2:14" ht="15.75">
      <c r="B33" s="25"/>
      <c r="C33" s="26" t="s">
        <v>26</v>
      </c>
      <c r="D33" s="28">
        <v>10.16</v>
      </c>
      <c r="E33" s="29">
        <v>22.62</v>
      </c>
      <c r="F33" s="28">
        <f t="shared" si="1"/>
        <v>177.82</v>
      </c>
      <c r="G33" s="28">
        <f t="shared" si="2"/>
        <v>0</v>
      </c>
      <c r="H33" s="28">
        <v>187.98</v>
      </c>
      <c r="I33" s="28">
        <v>22.62</v>
      </c>
      <c r="J33" s="28">
        <f t="shared" si="3"/>
        <v>69.78999999999999</v>
      </c>
      <c r="K33" s="28">
        <f t="shared" si="3"/>
        <v>113.61000000000001</v>
      </c>
      <c r="L33" s="28">
        <f>+'GTL DEC 07 VS DEC 08..'!G30</f>
        <v>257.77</v>
      </c>
      <c r="M33" s="28">
        <f>+'GTL DEC 07 VS DEC 08..'!E30</f>
        <v>136.23000000000002</v>
      </c>
      <c r="N33" s="29">
        <v>136.28</v>
      </c>
    </row>
    <row r="34" spans="2:14" ht="15.75">
      <c r="B34" s="25"/>
      <c r="C34" s="26" t="s">
        <v>27</v>
      </c>
      <c r="D34" s="28">
        <v>838.84</v>
      </c>
      <c r="E34" s="29">
        <v>1255.81</v>
      </c>
      <c r="F34" s="28">
        <f t="shared" si="1"/>
        <v>581.0600000000001</v>
      </c>
      <c r="G34" s="28">
        <f t="shared" si="2"/>
        <v>923.21</v>
      </c>
      <c r="H34" s="28">
        <v>1419.9</v>
      </c>
      <c r="I34" s="28">
        <v>2179.02</v>
      </c>
      <c r="J34" s="28">
        <f t="shared" si="3"/>
        <v>632.0299999999997</v>
      </c>
      <c r="K34" s="28">
        <f t="shared" si="3"/>
        <v>928.6700000000001</v>
      </c>
      <c r="L34" s="28">
        <f>+'GTL DEC 07 VS DEC 08..'!G42</f>
        <v>2051.93</v>
      </c>
      <c r="M34" s="28">
        <f>+'GTL DEC 07 VS DEC 08..'!E42</f>
        <v>3107.69</v>
      </c>
      <c r="N34" s="29">
        <v>4053.52</v>
      </c>
    </row>
    <row r="35" spans="2:14" ht="15.75">
      <c r="B35" s="25"/>
      <c r="C35" s="26" t="s">
        <v>28</v>
      </c>
      <c r="D35" s="28">
        <v>937.85</v>
      </c>
      <c r="E35" s="29">
        <v>883.44</v>
      </c>
      <c r="F35" s="28">
        <f t="shared" si="1"/>
        <v>867.0300000000001</v>
      </c>
      <c r="G35" s="28">
        <f t="shared" si="2"/>
        <v>980.75</v>
      </c>
      <c r="H35" s="28">
        <v>1804.88</v>
      </c>
      <c r="I35" s="28">
        <v>1864.19</v>
      </c>
      <c r="J35" s="28">
        <f t="shared" si="3"/>
        <v>1104.58</v>
      </c>
      <c r="K35" s="28">
        <f t="shared" si="3"/>
        <v>1054.6</v>
      </c>
      <c r="L35" s="28">
        <f>+'GTL DEC 07 VS DEC 08..'!G54</f>
        <v>2909.46</v>
      </c>
      <c r="M35" s="28">
        <f>+'GTL DEC 07 VS DEC 08..'!E54</f>
        <v>2918.79</v>
      </c>
      <c r="N35" s="29">
        <v>4013.92</v>
      </c>
    </row>
    <row r="36" spans="2:14" ht="15.75">
      <c r="B36" s="25"/>
      <c r="C36" s="26" t="s">
        <v>29</v>
      </c>
      <c r="D36" s="28">
        <v>307.22</v>
      </c>
      <c r="E36" s="29">
        <v>305.75</v>
      </c>
      <c r="F36" s="28">
        <f t="shared" si="1"/>
        <v>310.29999999999995</v>
      </c>
      <c r="G36" s="28">
        <f t="shared" si="2"/>
        <v>305.76</v>
      </c>
      <c r="H36" s="28">
        <v>617.52</v>
      </c>
      <c r="I36" s="28">
        <v>611.51</v>
      </c>
      <c r="J36" s="28">
        <f t="shared" si="3"/>
        <v>308.4000000000001</v>
      </c>
      <c r="K36" s="28">
        <f t="shared" si="3"/>
        <v>305.75221750000003</v>
      </c>
      <c r="L36" s="28">
        <f>+'GTL DEC 07 VS DEC 08..'!G69</f>
        <v>925.9200000000001</v>
      </c>
      <c r="M36" s="28">
        <f>+'GTL DEC 07 VS DEC 08..'!E69</f>
        <v>917.2622175</v>
      </c>
      <c r="N36" s="29">
        <v>1223.01</v>
      </c>
    </row>
    <row r="37" spans="2:15" ht="15.75">
      <c r="B37" s="25"/>
      <c r="C37" s="26" t="s">
        <v>30</v>
      </c>
      <c r="D37" s="28">
        <f>1151.45+39.49-2.97</f>
        <v>1187.97</v>
      </c>
      <c r="E37" s="29">
        <f>816.76+409.21+157.24</f>
        <v>1383.21</v>
      </c>
      <c r="F37" s="28">
        <f>+H37-D37</f>
        <v>2040.3</v>
      </c>
      <c r="G37" s="28">
        <f t="shared" si="2"/>
        <v>1741.2799999999997</v>
      </c>
      <c r="H37" s="28">
        <v>3228.27</v>
      </c>
      <c r="I37" s="28">
        <v>3124.49</v>
      </c>
      <c r="J37" s="28">
        <f t="shared" si="3"/>
        <v>1480.3979999999997</v>
      </c>
      <c r="K37" s="28">
        <f t="shared" si="3"/>
        <v>1569.06434</v>
      </c>
      <c r="L37" s="28">
        <f>+'GTL DEC 07 VS DEC 08..'!G58+'GTL DEC 07 VS DEC 08..'!G56+'GTL DEC 07 VS DEC 08..'!G46+'GTL DEC 07 VS DEC 08..'!G44+'GTL DEC 07 VS DEC 08..'!G40+'GTL DEC 07 VS DEC 08..'!G38+'GTL DEC 07 VS DEC 08..'!G36+'GTL DEC 07 VS DEC 08..'!G34</f>
        <v>4708.668</v>
      </c>
      <c r="M37" s="28">
        <f>+'GTL DEC 07 VS DEC 08..'!E58+'GTL DEC 07 VS DEC 08..'!E46+'GTL DEC 07 VS DEC 08..'!E44+'GTL DEC 07 VS DEC 08..'!E40+'GTL DEC 07 VS DEC 08..'!E38+'GTL DEC 07 VS DEC 08..'!E36+'GTL DEC 07 VS DEC 08..'!E34</f>
        <v>4693.55434</v>
      </c>
      <c r="N37" s="29">
        <f>4751.05+167.29</f>
        <v>4918.34</v>
      </c>
      <c r="O37" s="32"/>
    </row>
    <row r="38" spans="2:14" ht="15.75">
      <c r="B38" s="25"/>
      <c r="C38" s="15" t="s">
        <v>31</v>
      </c>
      <c r="D38" s="30">
        <f aca="true" t="shared" si="4" ref="D38:N38">SUM(D31:D37)</f>
        <v>6878.040000000001</v>
      </c>
      <c r="E38" s="31">
        <f t="shared" si="4"/>
        <v>8049.0199999999995</v>
      </c>
      <c r="F38" s="31">
        <f t="shared" si="4"/>
        <v>7131.77</v>
      </c>
      <c r="G38" s="31">
        <f t="shared" si="4"/>
        <v>7595.93</v>
      </c>
      <c r="H38" s="31">
        <v>14009.81</v>
      </c>
      <c r="I38" s="31">
        <v>15644.95</v>
      </c>
      <c r="J38" s="31">
        <f>SUM(J31:J37)</f>
        <v>6997.3179999999975</v>
      </c>
      <c r="K38" s="31">
        <f t="shared" si="4"/>
        <v>8292.9283275</v>
      </c>
      <c r="L38" s="31">
        <f>SUM(L31:L37)</f>
        <v>21007.128</v>
      </c>
      <c r="M38" s="31">
        <f>SUM(M31:M37)</f>
        <v>23937.8783275</v>
      </c>
      <c r="N38" s="31">
        <f t="shared" si="4"/>
        <v>33207.13</v>
      </c>
    </row>
    <row r="39" spans="2:14" ht="15.75">
      <c r="B39" s="25"/>
      <c r="C39" s="26"/>
      <c r="D39" s="28"/>
      <c r="E39" s="29"/>
      <c r="F39" s="28"/>
      <c r="G39" s="28"/>
      <c r="H39" s="28"/>
      <c r="I39" s="28"/>
      <c r="J39" s="28"/>
      <c r="K39" s="28"/>
      <c r="L39" s="28"/>
      <c r="M39" s="28"/>
      <c r="N39" s="29"/>
    </row>
    <row r="40" spans="2:14" ht="15.75">
      <c r="B40" s="25">
        <v>5</v>
      </c>
      <c r="C40" s="26" t="s">
        <v>32</v>
      </c>
      <c r="D40" s="28">
        <v>374.63</v>
      </c>
      <c r="E40" s="29">
        <v>293.72</v>
      </c>
      <c r="F40" s="28">
        <f>+H40-D40</f>
        <v>369.81000000000006</v>
      </c>
      <c r="G40" s="28">
        <f>+I40-E40</f>
        <v>380.75</v>
      </c>
      <c r="H40" s="28">
        <v>744.44</v>
      </c>
      <c r="I40" s="28">
        <v>674.47</v>
      </c>
      <c r="J40" s="28">
        <f>+L40-H40</f>
        <v>375.98</v>
      </c>
      <c r="K40" s="28">
        <f>+M40-I40</f>
        <v>273.4599999999999</v>
      </c>
      <c r="L40" s="28">
        <f>+'GTL DEC 07 VS DEC 08..'!G65</f>
        <v>1120.42</v>
      </c>
      <c r="M40" s="28">
        <f>+'GTL DEC 07 VS DEC 08..'!E65</f>
        <v>947.93</v>
      </c>
      <c r="N40" s="29">
        <v>1480.76</v>
      </c>
    </row>
    <row r="41" spans="2:14" ht="15.75">
      <c r="B41" s="25">
        <v>6</v>
      </c>
      <c r="C41" s="15" t="s">
        <v>33</v>
      </c>
      <c r="D41" s="33">
        <f aca="true" t="shared" si="5" ref="D41:N41">+D29-D38-D40</f>
        <v>-394.10000000000116</v>
      </c>
      <c r="E41" s="34">
        <f t="shared" si="5"/>
        <v>-66.53999999999883</v>
      </c>
      <c r="F41" s="34">
        <f t="shared" si="5"/>
        <v>-369.10000000000093</v>
      </c>
      <c r="G41" s="34">
        <f t="shared" si="5"/>
        <v>337.46999999999935</v>
      </c>
      <c r="H41" s="34">
        <v>-763.200000000002</v>
      </c>
      <c r="I41" s="34">
        <v>270.9299999999978</v>
      </c>
      <c r="J41" s="34">
        <f>+J29-J38-J40</f>
        <v>-534.8279999999963</v>
      </c>
      <c r="K41" s="34">
        <f t="shared" si="5"/>
        <v>338.6467124999973</v>
      </c>
      <c r="L41" s="34">
        <f>+L29-L38-L40</f>
        <v>-1298.0280000000002</v>
      </c>
      <c r="M41" s="34">
        <f t="shared" si="5"/>
        <v>609.5767124999987</v>
      </c>
      <c r="N41" s="34">
        <f t="shared" si="5"/>
        <v>-342.80000000000086</v>
      </c>
    </row>
    <row r="42" spans="2:16" ht="15.75">
      <c r="B42" s="25">
        <v>7</v>
      </c>
      <c r="C42" s="26" t="s">
        <v>34</v>
      </c>
      <c r="D42" s="28"/>
      <c r="E42" s="29"/>
      <c r="F42" s="28"/>
      <c r="G42" s="28"/>
      <c r="H42" s="28"/>
      <c r="I42" s="28"/>
      <c r="J42" s="28"/>
      <c r="K42" s="28"/>
      <c r="L42" s="28"/>
      <c r="M42" s="28"/>
      <c r="N42" s="29"/>
      <c r="P42" s="52"/>
    </row>
    <row r="43" spans="2:14" ht="15.75">
      <c r="B43" s="25"/>
      <c r="C43" s="26" t="s">
        <v>36</v>
      </c>
      <c r="D43" s="28">
        <v>0</v>
      </c>
      <c r="E43" s="29">
        <v>0</v>
      </c>
      <c r="F43" s="28">
        <v>0</v>
      </c>
      <c r="G43" s="28">
        <v>0</v>
      </c>
      <c r="H43" s="28">
        <v>0</v>
      </c>
      <c r="I43" s="28">
        <v>0</v>
      </c>
      <c r="J43" s="28"/>
      <c r="K43" s="28"/>
      <c r="L43" s="28"/>
      <c r="M43" s="28"/>
      <c r="N43" s="29">
        <v>0</v>
      </c>
    </row>
    <row r="44" spans="2:14" ht="15.75">
      <c r="B44" s="25"/>
      <c r="C44" s="26" t="s">
        <v>37</v>
      </c>
      <c r="D44" s="28">
        <v>20.42</v>
      </c>
      <c r="E44" s="29">
        <v>56.9</v>
      </c>
      <c r="F44" s="28">
        <f>+H44-D44</f>
        <v>105.33</v>
      </c>
      <c r="G44" s="28">
        <f>+I44-E44</f>
        <v>56.895</v>
      </c>
      <c r="H44" s="28">
        <v>125.75</v>
      </c>
      <c r="I44" s="28">
        <v>113.795</v>
      </c>
      <c r="J44" s="28">
        <f>+L44-H44</f>
        <v>-52.68000000000001</v>
      </c>
      <c r="K44" s="28">
        <f>+N44-M44</f>
        <v>56.89750000000001</v>
      </c>
      <c r="L44" s="28">
        <v>73.07</v>
      </c>
      <c r="M44" s="28">
        <f>227.59*0.75</f>
        <v>170.6925</v>
      </c>
      <c r="N44" s="29">
        <v>227.59</v>
      </c>
    </row>
    <row r="45" spans="2:14" ht="15.75">
      <c r="B45" s="25"/>
      <c r="C45" s="26" t="s">
        <v>38</v>
      </c>
      <c r="D45" s="28">
        <f>3.56+2.02</f>
        <v>5.58</v>
      </c>
      <c r="E45" s="29">
        <v>5.79</v>
      </c>
      <c r="F45" s="28">
        <f>+H45-D45</f>
        <v>11.08</v>
      </c>
      <c r="G45" s="28">
        <f>+I45-E45</f>
        <v>3.1800000000000006</v>
      </c>
      <c r="H45" s="28">
        <v>16.66</v>
      </c>
      <c r="I45" s="28">
        <v>8.97</v>
      </c>
      <c r="J45" s="28">
        <f>+L45-H45</f>
        <v>10.600000000000001</v>
      </c>
      <c r="K45" s="28">
        <f>+M45-I45</f>
        <v>3.4799999999999986</v>
      </c>
      <c r="L45" s="28">
        <f>25.5+1.76</f>
        <v>27.26</v>
      </c>
      <c r="M45" s="28">
        <v>12.45</v>
      </c>
      <c r="N45" s="29">
        <v>23.14</v>
      </c>
    </row>
    <row r="46" spans="2:14" ht="15.75">
      <c r="B46" s="25"/>
      <c r="C46" s="15" t="s">
        <v>39</v>
      </c>
      <c r="D46" s="33">
        <f>SUM(D43:D45)</f>
        <v>26</v>
      </c>
      <c r="E46" s="34">
        <f>SUM(E43:E45)</f>
        <v>62.69</v>
      </c>
      <c r="F46" s="34">
        <f>SUM(F43:F45)</f>
        <v>116.41</v>
      </c>
      <c r="G46" s="33">
        <f>+I46-E46</f>
        <v>60.075</v>
      </c>
      <c r="H46" s="33">
        <v>142.41</v>
      </c>
      <c r="I46" s="34">
        <f aca="true" t="shared" si="6" ref="I46:N46">SUM(I43:I45)</f>
        <v>122.765</v>
      </c>
      <c r="J46" s="34">
        <f>SUM(J43:J45)</f>
        <v>-42.080000000000005</v>
      </c>
      <c r="K46" s="34">
        <f t="shared" si="6"/>
        <v>60.377500000000005</v>
      </c>
      <c r="L46" s="34">
        <f>SUM(L43:L45)</f>
        <v>100.33</v>
      </c>
      <c r="M46" s="34">
        <f t="shared" si="6"/>
        <v>183.14249999999998</v>
      </c>
      <c r="N46" s="34">
        <f t="shared" si="6"/>
        <v>250.73000000000002</v>
      </c>
    </row>
    <row r="47" spans="2:14" ht="15.75">
      <c r="B47" s="25">
        <v>8</v>
      </c>
      <c r="C47" s="15" t="s">
        <v>156</v>
      </c>
      <c r="D47" s="33">
        <f>D41-D46</f>
        <v>-420.10000000000116</v>
      </c>
      <c r="E47" s="34">
        <f>E41-E46</f>
        <v>-129.22999999999882</v>
      </c>
      <c r="F47" s="34">
        <f>F41-F46</f>
        <v>-485.5100000000009</v>
      </c>
      <c r="G47" s="33">
        <f>+I47-E47</f>
        <v>277.3949999999966</v>
      </c>
      <c r="H47" s="34">
        <v>-905.610000000002</v>
      </c>
      <c r="I47" s="34">
        <f>+I41-I46</f>
        <v>148.1649999999978</v>
      </c>
      <c r="J47" s="34">
        <f>+J41-J46</f>
        <v>-492.74799999999635</v>
      </c>
      <c r="K47" s="34">
        <f>+K41-K46</f>
        <v>278.2692124999973</v>
      </c>
      <c r="L47" s="34">
        <f>+L41-L46</f>
        <v>-1398.3580000000002</v>
      </c>
      <c r="M47" s="34">
        <f>+M41-M46</f>
        <v>426.43421249999875</v>
      </c>
      <c r="N47" s="34">
        <f>N41-N46</f>
        <v>-593.5300000000009</v>
      </c>
    </row>
    <row r="48" spans="2:14" ht="15.75">
      <c r="B48" s="25">
        <v>9</v>
      </c>
      <c r="C48" s="15" t="s">
        <v>41</v>
      </c>
      <c r="D48" s="33">
        <v>649.93</v>
      </c>
      <c r="E48" s="34">
        <v>649.93</v>
      </c>
      <c r="F48" s="34">
        <v>649.93</v>
      </c>
      <c r="G48" s="34">
        <v>649.93</v>
      </c>
      <c r="H48" s="34">
        <v>649.93</v>
      </c>
      <c r="I48" s="34">
        <v>649.93</v>
      </c>
      <c r="J48" s="34">
        <v>649.93</v>
      </c>
      <c r="K48" s="34">
        <v>649.93</v>
      </c>
      <c r="L48" s="34">
        <v>649.93</v>
      </c>
      <c r="M48" s="34">
        <v>649.93</v>
      </c>
      <c r="N48" s="34">
        <v>649.93</v>
      </c>
    </row>
    <row r="49" spans="2:14" ht="15.75">
      <c r="B49" s="25"/>
      <c r="C49" s="26" t="s">
        <v>42</v>
      </c>
      <c r="D49" s="28"/>
      <c r="E49" s="29"/>
      <c r="F49" s="28"/>
      <c r="G49" s="28"/>
      <c r="H49" s="28"/>
      <c r="I49" s="28"/>
      <c r="J49" s="28"/>
      <c r="K49" s="28"/>
      <c r="L49" s="28"/>
      <c r="M49" s="28"/>
      <c r="N49" s="29"/>
    </row>
    <row r="50" spans="2:14" ht="15.75">
      <c r="B50" s="25">
        <v>10</v>
      </c>
      <c r="C50" s="15" t="s">
        <v>43</v>
      </c>
      <c r="D50" s="33">
        <f>7856.5-420.1</f>
        <v>7436.4</v>
      </c>
      <c r="E50" s="34">
        <v>8320.81</v>
      </c>
      <c r="F50" s="34">
        <v>0</v>
      </c>
      <c r="G50" s="33">
        <v>0</v>
      </c>
      <c r="H50" s="34">
        <v>0</v>
      </c>
      <c r="I50" s="33">
        <v>0</v>
      </c>
      <c r="J50" s="33"/>
      <c r="K50" s="33"/>
      <c r="L50" s="33"/>
      <c r="M50" s="33"/>
      <c r="N50" s="34">
        <v>7856.5</v>
      </c>
    </row>
    <row r="51" spans="2:14" ht="15.75">
      <c r="B51" s="25">
        <v>11</v>
      </c>
      <c r="C51" s="15" t="s">
        <v>44</v>
      </c>
      <c r="D51" s="33">
        <f>+D47/D48*10</f>
        <v>-6.463773021710049</v>
      </c>
      <c r="E51" s="34">
        <f>+E47/E48*10</f>
        <v>-1.9883679780899302</v>
      </c>
      <c r="F51" s="34">
        <f>+F47/(F48)*10</f>
        <v>-7.470189097287414</v>
      </c>
      <c r="G51" s="34">
        <f>+G47/(G48)*10</f>
        <v>4.2680750234640135</v>
      </c>
      <c r="H51" s="34">
        <v>-13.93396211899746</v>
      </c>
      <c r="I51" s="34">
        <v>2.2797070453740838</v>
      </c>
      <c r="J51" s="34">
        <f>+J47/J48*10</f>
        <v>-7.581554936685434</v>
      </c>
      <c r="K51" s="34">
        <f>+K47/K48*10</f>
        <v>4.281525895096355</v>
      </c>
      <c r="L51" s="34">
        <f>+L47/L48*10</f>
        <v>-21.51551705568292</v>
      </c>
      <c r="M51" s="34">
        <f>+M47/M48*10</f>
        <v>6.561232940470494</v>
      </c>
      <c r="N51" s="34">
        <f>+N47/(N48-5)*10</f>
        <v>-9.203014280619616</v>
      </c>
    </row>
    <row r="52" spans="2:14" ht="15.75">
      <c r="B52" s="25"/>
      <c r="C52" s="15" t="s">
        <v>45</v>
      </c>
      <c r="D52" s="28"/>
      <c r="E52" s="29"/>
      <c r="F52" s="28"/>
      <c r="G52" s="28"/>
      <c r="H52" s="28"/>
      <c r="I52" s="28"/>
      <c r="J52" s="28"/>
      <c r="K52" s="28"/>
      <c r="L52" s="28"/>
      <c r="M52" s="28"/>
      <c r="N52" s="29"/>
    </row>
    <row r="53" spans="2:14" ht="15.75">
      <c r="B53" s="25">
        <v>12</v>
      </c>
      <c r="C53" s="15" t="s">
        <v>46</v>
      </c>
      <c r="D53" s="28"/>
      <c r="E53" s="29"/>
      <c r="F53" s="28"/>
      <c r="G53" s="28"/>
      <c r="H53" s="28"/>
      <c r="I53" s="28"/>
      <c r="J53" s="28"/>
      <c r="K53" s="28"/>
      <c r="L53" s="28"/>
      <c r="M53" s="28"/>
      <c r="N53" s="29"/>
    </row>
    <row r="54" spans="2:14" ht="15.75">
      <c r="B54" s="25"/>
      <c r="C54" s="26"/>
      <c r="D54" s="28"/>
      <c r="E54" s="29"/>
      <c r="F54" s="28"/>
      <c r="G54" s="28"/>
      <c r="H54" s="28"/>
      <c r="I54" s="28"/>
      <c r="J54" s="28"/>
      <c r="K54" s="28"/>
      <c r="L54" s="28"/>
      <c r="M54" s="28"/>
      <c r="N54" s="29"/>
    </row>
    <row r="55" spans="2:14" ht="15.75">
      <c r="B55" s="25"/>
      <c r="C55" s="35" t="s">
        <v>47</v>
      </c>
      <c r="D55" s="36">
        <v>1718463</v>
      </c>
      <c r="E55" s="37">
        <v>1718463</v>
      </c>
      <c r="F55" s="37">
        <v>1718463</v>
      </c>
      <c r="G55" s="37">
        <v>1718463</v>
      </c>
      <c r="H55" s="37">
        <v>1718463</v>
      </c>
      <c r="I55" s="37">
        <v>1718463</v>
      </c>
      <c r="J55" s="37">
        <v>1718463</v>
      </c>
      <c r="K55" s="37">
        <v>1718463</v>
      </c>
      <c r="L55" s="37">
        <v>1718463</v>
      </c>
      <c r="M55" s="37">
        <v>1718463</v>
      </c>
      <c r="N55" s="37">
        <v>1718463</v>
      </c>
    </row>
    <row r="56" spans="2:14" ht="15.75">
      <c r="B56" s="25"/>
      <c r="C56" s="35" t="s">
        <v>48</v>
      </c>
      <c r="D56" s="38">
        <v>0.2644</v>
      </c>
      <c r="E56" s="39">
        <v>0.2644</v>
      </c>
      <c r="F56" s="39">
        <v>0.2644</v>
      </c>
      <c r="G56" s="39">
        <v>0.2644</v>
      </c>
      <c r="H56" s="39">
        <v>0.2644</v>
      </c>
      <c r="I56" s="39">
        <v>0.2644</v>
      </c>
      <c r="J56" s="39">
        <v>0.2644</v>
      </c>
      <c r="K56" s="39">
        <v>0.2644</v>
      </c>
      <c r="L56" s="39">
        <v>0.2644</v>
      </c>
      <c r="M56" s="39">
        <v>0.2644</v>
      </c>
      <c r="N56" s="39">
        <v>0.2644</v>
      </c>
    </row>
    <row r="57" spans="2:14" ht="16.5" thickBot="1">
      <c r="B57" s="40"/>
      <c r="C57" s="41"/>
      <c r="D57" s="42"/>
      <c r="E57" s="43"/>
      <c r="F57" s="42"/>
      <c r="G57" s="42"/>
      <c r="H57" s="42"/>
      <c r="I57" s="42"/>
      <c r="J57" s="42"/>
      <c r="K57" s="42"/>
      <c r="L57" s="42"/>
      <c r="M57" s="42"/>
      <c r="N57" s="43"/>
    </row>
    <row r="58" spans="2:15" ht="12" customHeight="1">
      <c r="B58" s="6"/>
      <c r="C58" s="6"/>
      <c r="D58" s="6"/>
      <c r="E58" s="6"/>
      <c r="F58" s="6"/>
      <c r="G58" s="6"/>
      <c r="H58" s="6"/>
      <c r="I58" s="6"/>
      <c r="J58" s="6"/>
      <c r="K58" s="6"/>
      <c r="L58" s="6"/>
      <c r="M58" s="6"/>
      <c r="N58" s="2"/>
      <c r="O58" s="2"/>
    </row>
    <row r="59" spans="2:15" ht="15">
      <c r="B59" s="44" t="s">
        <v>49</v>
      </c>
      <c r="C59" s="45"/>
      <c r="D59" s="45"/>
      <c r="E59" s="45"/>
      <c r="F59" s="45"/>
      <c r="G59" s="45"/>
      <c r="H59" s="45"/>
      <c r="I59" s="45"/>
      <c r="J59" s="45"/>
      <c r="K59" s="45"/>
      <c r="L59" s="45"/>
      <c r="M59" s="45"/>
      <c r="N59" s="2"/>
      <c r="O59" s="2"/>
    </row>
    <row r="60" spans="2:15" ht="10.5" customHeight="1">
      <c r="B60" s="45"/>
      <c r="C60" s="45"/>
      <c r="D60" s="45"/>
      <c r="E60" s="45"/>
      <c r="F60" s="45"/>
      <c r="G60" s="45"/>
      <c r="H60" s="45"/>
      <c r="I60" s="45"/>
      <c r="J60" s="45"/>
      <c r="K60" s="45"/>
      <c r="L60" s="45"/>
      <c r="M60" s="45"/>
      <c r="N60" s="2"/>
      <c r="O60" s="2"/>
    </row>
    <row r="61" spans="2:15" ht="137.25" customHeight="1">
      <c r="B61" s="46" t="s">
        <v>50</v>
      </c>
      <c r="C61" s="278" t="s">
        <v>211</v>
      </c>
      <c r="D61" s="278"/>
      <c r="E61" s="278"/>
      <c r="F61" s="278"/>
      <c r="G61" s="278"/>
      <c r="H61" s="278"/>
      <c r="I61" s="278"/>
      <c r="J61" s="278"/>
      <c r="K61" s="278"/>
      <c r="L61" s="278"/>
      <c r="M61" s="278"/>
      <c r="N61" s="278"/>
      <c r="O61" s="2"/>
    </row>
    <row r="62" spans="2:15" ht="56.25" customHeight="1">
      <c r="B62" s="46" t="s">
        <v>51</v>
      </c>
      <c r="C62" s="273" t="s">
        <v>209</v>
      </c>
      <c r="D62" s="273"/>
      <c r="E62" s="273"/>
      <c r="F62" s="273"/>
      <c r="G62" s="273"/>
      <c r="H62" s="273"/>
      <c r="I62" s="273"/>
      <c r="J62" s="273"/>
      <c r="K62" s="273"/>
      <c r="L62" s="273"/>
      <c r="M62" s="273"/>
      <c r="N62" s="273"/>
      <c r="O62" s="2"/>
    </row>
    <row r="63" spans="2:15" ht="20.25" customHeight="1">
      <c r="B63" s="46" t="s">
        <v>52</v>
      </c>
      <c r="C63" s="273" t="s">
        <v>53</v>
      </c>
      <c r="D63" s="273"/>
      <c r="E63" s="273"/>
      <c r="F63" s="273"/>
      <c r="G63" s="273"/>
      <c r="H63" s="273"/>
      <c r="I63" s="273"/>
      <c r="J63" s="273"/>
      <c r="K63" s="273"/>
      <c r="L63" s="273"/>
      <c r="M63" s="273"/>
      <c r="N63" s="273"/>
      <c r="O63" s="2"/>
    </row>
    <row r="64" spans="2:15" ht="6.75" customHeight="1">
      <c r="B64" s="46"/>
      <c r="C64" s="273"/>
      <c r="D64" s="273"/>
      <c r="E64" s="273"/>
      <c r="F64" s="273"/>
      <c r="G64" s="273"/>
      <c r="H64" s="273"/>
      <c r="I64" s="273"/>
      <c r="J64" s="143"/>
      <c r="K64" s="143"/>
      <c r="L64" s="143"/>
      <c r="M64" s="143"/>
      <c r="N64" s="144"/>
      <c r="O64" s="2"/>
    </row>
    <row r="65" spans="2:15" ht="38.25" customHeight="1">
      <c r="B65" s="46" t="s">
        <v>54</v>
      </c>
      <c r="C65" s="273" t="s">
        <v>210</v>
      </c>
      <c r="D65" s="273"/>
      <c r="E65" s="273"/>
      <c r="F65" s="273"/>
      <c r="G65" s="273"/>
      <c r="H65" s="273"/>
      <c r="I65" s="273"/>
      <c r="J65" s="273"/>
      <c r="K65" s="273"/>
      <c r="L65" s="273"/>
      <c r="M65" s="273"/>
      <c r="N65" s="273"/>
      <c r="O65" s="2"/>
    </row>
    <row r="66" spans="2:15" ht="3" customHeight="1">
      <c r="B66" s="45"/>
      <c r="C66" s="145"/>
      <c r="D66" s="145"/>
      <c r="E66" s="145"/>
      <c r="F66" s="145"/>
      <c r="G66" s="145"/>
      <c r="H66" s="145"/>
      <c r="I66" s="145"/>
      <c r="J66" s="145"/>
      <c r="K66" s="145"/>
      <c r="L66" s="145"/>
      <c r="M66" s="145"/>
      <c r="N66" s="144"/>
      <c r="O66" s="2"/>
    </row>
    <row r="67" spans="2:15" ht="58.5" customHeight="1">
      <c r="B67" s="46" t="s">
        <v>55</v>
      </c>
      <c r="C67" s="273" t="s">
        <v>182</v>
      </c>
      <c r="D67" s="273"/>
      <c r="E67" s="273"/>
      <c r="F67" s="273"/>
      <c r="G67" s="273"/>
      <c r="H67" s="273"/>
      <c r="I67" s="273"/>
      <c r="J67" s="273"/>
      <c r="K67" s="273"/>
      <c r="L67" s="273"/>
      <c r="M67" s="273"/>
      <c r="N67" s="273"/>
      <c r="O67" s="2"/>
    </row>
    <row r="68" spans="2:15" ht="57.75" customHeight="1">
      <c r="B68" s="46" t="s">
        <v>160</v>
      </c>
      <c r="C68" s="273" t="s">
        <v>181</v>
      </c>
      <c r="D68" s="273"/>
      <c r="E68" s="273"/>
      <c r="F68" s="273"/>
      <c r="G68" s="273"/>
      <c r="H68" s="273"/>
      <c r="I68" s="273"/>
      <c r="J68" s="273"/>
      <c r="K68" s="273"/>
      <c r="L68" s="273"/>
      <c r="M68" s="273"/>
      <c r="N68" s="273"/>
      <c r="O68" s="2"/>
    </row>
    <row r="69" spans="2:17" ht="18.75" customHeight="1">
      <c r="B69" s="6"/>
      <c r="C69" s="6"/>
      <c r="D69" s="6"/>
      <c r="E69" s="6"/>
      <c r="F69" s="6"/>
      <c r="G69" s="6"/>
      <c r="H69" s="6"/>
      <c r="I69" s="6"/>
      <c r="J69" s="6"/>
      <c r="K69" s="6"/>
      <c r="L69" s="177" t="s">
        <v>56</v>
      </c>
      <c r="M69" s="177"/>
      <c r="N69" s="177"/>
      <c r="O69" s="177"/>
      <c r="P69" s="177"/>
      <c r="Q69" s="177"/>
    </row>
    <row r="70" spans="2:17" ht="18.75">
      <c r="B70" s="6"/>
      <c r="J70" s="176"/>
      <c r="K70" s="176"/>
      <c r="L70" s="177"/>
      <c r="M70" s="177"/>
      <c r="N70" s="177"/>
      <c r="O70" s="177"/>
      <c r="P70" s="177"/>
      <c r="Q70" s="177"/>
    </row>
    <row r="71" spans="2:17" ht="13.5" customHeight="1">
      <c r="B71" s="6"/>
      <c r="C71" s="6"/>
      <c r="D71" s="6"/>
      <c r="E71" s="6"/>
      <c r="F71" s="6"/>
      <c r="G71" s="6"/>
      <c r="H71" s="6"/>
      <c r="I71" s="6"/>
      <c r="J71" s="6"/>
      <c r="K71" s="6"/>
      <c r="L71" s="177"/>
      <c r="M71" s="177"/>
      <c r="N71" s="177"/>
      <c r="O71" s="177"/>
      <c r="P71" s="177"/>
      <c r="Q71" s="177"/>
    </row>
    <row r="72" spans="2:17" ht="18.75">
      <c r="B72" s="6"/>
      <c r="C72" s="6"/>
      <c r="D72" s="272" t="s">
        <v>159</v>
      </c>
      <c r="E72" s="272"/>
      <c r="F72" s="272"/>
      <c r="G72" s="272"/>
      <c r="H72" s="272"/>
      <c r="I72" s="272"/>
      <c r="J72" s="146"/>
      <c r="K72" s="146"/>
      <c r="L72" s="274" t="s">
        <v>57</v>
      </c>
      <c r="M72" s="274"/>
      <c r="N72" s="274"/>
      <c r="O72" s="274"/>
      <c r="P72" s="274"/>
      <c r="Q72" s="274"/>
    </row>
    <row r="73" spans="2:17" ht="18.75">
      <c r="B73" s="6"/>
      <c r="C73" s="147" t="s">
        <v>183</v>
      </c>
      <c r="D73" s="272" t="s">
        <v>158</v>
      </c>
      <c r="E73" s="272"/>
      <c r="F73" s="272"/>
      <c r="G73" s="272"/>
      <c r="H73" s="272"/>
      <c r="I73" s="272"/>
      <c r="J73" s="146"/>
      <c r="K73" s="146"/>
      <c r="L73" s="274" t="s">
        <v>184</v>
      </c>
      <c r="M73" s="274"/>
      <c r="N73" s="274"/>
      <c r="O73" s="274"/>
      <c r="P73" s="274"/>
      <c r="Q73" s="274"/>
    </row>
    <row r="74" spans="1:14" ht="15">
      <c r="A74" s="51"/>
      <c r="B74" s="6"/>
      <c r="C74" s="6"/>
      <c r="D74" s="6"/>
      <c r="E74" s="6"/>
      <c r="F74" s="6"/>
      <c r="G74" s="6"/>
      <c r="H74" s="6"/>
      <c r="I74" s="6"/>
      <c r="J74" s="6"/>
      <c r="K74" s="6"/>
      <c r="L74" s="6"/>
      <c r="M74" s="6"/>
      <c r="N74" s="51"/>
    </row>
  </sheetData>
  <sheetProtection/>
  <mergeCells count="15">
    <mergeCell ref="B3:N3"/>
    <mergeCell ref="B17:N17"/>
    <mergeCell ref="B18:N18"/>
    <mergeCell ref="C64:I64"/>
    <mergeCell ref="B4:N4"/>
    <mergeCell ref="C61:N61"/>
    <mergeCell ref="D73:I73"/>
    <mergeCell ref="C62:N62"/>
    <mergeCell ref="C63:N63"/>
    <mergeCell ref="D72:I72"/>
    <mergeCell ref="C65:N65"/>
    <mergeCell ref="C68:N68"/>
    <mergeCell ref="C67:N67"/>
    <mergeCell ref="L72:Q72"/>
    <mergeCell ref="L73:Q73"/>
  </mergeCells>
  <printOptions/>
  <pageMargins left="0.25" right="0.25" top="1.25" bottom="0.5" header="0.25" footer="0.25"/>
  <pageSetup fitToHeight="1" fitToWidth="1" horizontalDpi="300" verticalDpi="300" orientation="portrait" paperSize="9" scale="58" r:id="rId1"/>
</worksheet>
</file>

<file path=xl/worksheets/sheet10.xml><?xml version="1.0" encoding="utf-8"?>
<worksheet xmlns="http://schemas.openxmlformats.org/spreadsheetml/2006/main" xmlns:r="http://schemas.openxmlformats.org/officeDocument/2006/relationships">
  <sheetPr>
    <pageSetUpPr fitToPage="1"/>
  </sheetPr>
  <dimension ref="B1:G75"/>
  <sheetViews>
    <sheetView workbookViewId="0" topLeftCell="A7">
      <selection activeCell="C22" sqref="C22"/>
    </sheetView>
  </sheetViews>
  <sheetFormatPr defaultColWidth="9.140625" defaultRowHeight="12.75"/>
  <cols>
    <col min="1" max="1" width="9.140625" style="218" customWidth="1"/>
    <col min="2" max="2" width="35.140625" style="218" customWidth="1"/>
    <col min="3" max="4" width="12.140625" style="218" customWidth="1"/>
    <col min="5" max="5" width="13.57421875" style="218" customWidth="1"/>
    <col min="6" max="6" width="11.140625" style="218" customWidth="1"/>
    <col min="7" max="7" width="10.28125" style="218" hidden="1" customWidth="1"/>
    <col min="8" max="16384" width="10.28125" style="218" customWidth="1"/>
  </cols>
  <sheetData>
    <row r="1" ht="16.5">
      <c r="B1" s="239" t="s">
        <v>225</v>
      </c>
    </row>
    <row r="2" ht="15">
      <c r="B2" s="219"/>
    </row>
    <row r="3" ht="16.5">
      <c r="B3" s="239" t="s">
        <v>219</v>
      </c>
    </row>
    <row r="4" ht="15.75" thickBot="1"/>
    <row r="5" spans="3:7" ht="15.75" thickBot="1">
      <c r="C5" s="292" t="s">
        <v>68</v>
      </c>
      <c r="D5" s="293"/>
      <c r="E5" s="292" t="s">
        <v>68</v>
      </c>
      <c r="F5" s="293"/>
      <c r="G5" s="218" t="s">
        <v>220</v>
      </c>
    </row>
    <row r="6" spans="3:6" ht="15.75" thickBot="1">
      <c r="C6" s="268" t="s">
        <v>221</v>
      </c>
      <c r="D6" s="269"/>
      <c r="E6" s="268" t="s">
        <v>222</v>
      </c>
      <c r="F6" s="269"/>
    </row>
    <row r="7" spans="2:6" ht="15">
      <c r="B7" s="224" t="s">
        <v>12</v>
      </c>
      <c r="C7" s="225" t="s">
        <v>99</v>
      </c>
      <c r="D7" s="225" t="s">
        <v>100</v>
      </c>
      <c r="E7" s="225" t="s">
        <v>99</v>
      </c>
      <c r="F7" s="225" t="s">
        <v>100</v>
      </c>
    </row>
    <row r="8" spans="2:6" ht="15.75" thickBot="1">
      <c r="B8" s="233"/>
      <c r="C8" s="234" t="s">
        <v>101</v>
      </c>
      <c r="D8" s="233"/>
      <c r="E8" s="234" t="s">
        <v>101</v>
      </c>
      <c r="F8" s="233"/>
    </row>
    <row r="9" spans="2:6" ht="15">
      <c r="B9" s="226"/>
      <c r="C9" s="241"/>
      <c r="D9" s="226"/>
      <c r="E9" s="226"/>
      <c r="F9" s="226"/>
    </row>
    <row r="10" spans="2:7" ht="15">
      <c r="B10" s="228" t="s">
        <v>102</v>
      </c>
      <c r="C10" s="231">
        <v>23736.21</v>
      </c>
      <c r="D10" s="229">
        <f>C10/$C$22*100</f>
        <v>96.01230480482</v>
      </c>
      <c r="E10" s="229">
        <f>30630.83-E12-95.76</f>
        <v>30358.450000000004</v>
      </c>
      <c r="F10" s="229">
        <f>E10/$E$22*100</f>
        <v>96.58828065991362</v>
      </c>
      <c r="G10" s="221">
        <f>E10-C10</f>
        <v>6622.240000000005</v>
      </c>
    </row>
    <row r="11" spans="2:6" ht="15">
      <c r="B11" s="228"/>
      <c r="C11" s="231"/>
      <c r="D11" s="229"/>
      <c r="E11" s="229"/>
      <c r="F11" s="229"/>
    </row>
    <row r="12" spans="2:7" ht="15">
      <c r="B12" s="228" t="s">
        <v>103</v>
      </c>
      <c r="C12" s="231">
        <v>424.01</v>
      </c>
      <c r="D12" s="229">
        <f>C12/$C$22*100</f>
        <v>1.715108577160875</v>
      </c>
      <c r="E12" s="229">
        <v>176.62</v>
      </c>
      <c r="F12" s="229">
        <f>E12/$E$22*100</f>
        <v>0.5619332386914991</v>
      </c>
      <c r="G12" s="221">
        <f>E12-C12</f>
        <v>-247.39</v>
      </c>
    </row>
    <row r="13" spans="2:6" ht="15">
      <c r="B13" s="228"/>
      <c r="C13" s="231"/>
      <c r="D13" s="229"/>
      <c r="E13" s="229"/>
      <c r="F13" s="229"/>
    </row>
    <row r="14" spans="2:7" ht="15">
      <c r="B14" s="228" t="s">
        <v>104</v>
      </c>
      <c r="C14" s="231">
        <v>65.85</v>
      </c>
      <c r="D14" s="229">
        <f>C14/$C$22*100</f>
        <v>0.2663614061131662</v>
      </c>
      <c r="E14" s="229">
        <v>47.31</v>
      </c>
      <c r="F14" s="229">
        <f>E14/$E$22*100</f>
        <v>0.15052124064372566</v>
      </c>
      <c r="G14" s="221">
        <f>E14-C14</f>
        <v>-18.539999999999992</v>
      </c>
    </row>
    <row r="15" spans="2:6" ht="15">
      <c r="B15" s="228"/>
      <c r="C15" s="231"/>
      <c r="D15" s="229"/>
      <c r="E15" s="229"/>
      <c r="F15" s="229"/>
    </row>
    <row r="16" spans="2:7" ht="15">
      <c r="B16" s="228" t="s">
        <v>105</v>
      </c>
      <c r="C16" s="231">
        <v>381.03</v>
      </c>
      <c r="D16" s="229">
        <f>C16/$C$22*100</f>
        <v>1.5412556806575508</v>
      </c>
      <c r="E16" s="229">
        <f>355.64+159.83+167.29</f>
        <v>682.76</v>
      </c>
      <c r="F16" s="229">
        <f>E16/$E$22*100</f>
        <v>2.1722655307949723</v>
      </c>
      <c r="G16" s="221">
        <f>E16-C16</f>
        <v>301.73</v>
      </c>
    </row>
    <row r="17" spans="2:6" ht="15">
      <c r="B17" s="228"/>
      <c r="C17" s="231"/>
      <c r="D17" s="229"/>
      <c r="E17" s="229"/>
      <c r="F17" s="229"/>
    </row>
    <row r="18" spans="2:7" ht="15">
      <c r="B18" s="230" t="s">
        <v>106</v>
      </c>
      <c r="C18" s="231">
        <v>33.49</v>
      </c>
      <c r="D18" s="229">
        <f>C18/$C$22*100</f>
        <v>0.1354661122358381</v>
      </c>
      <c r="E18" s="229">
        <v>69.88</v>
      </c>
      <c r="F18" s="229">
        <f>E18/$E$22*100</f>
        <v>0.22232983082188856</v>
      </c>
      <c r="G18" s="221">
        <f>E18-C18</f>
        <v>36.38999999999999</v>
      </c>
    </row>
    <row r="19" spans="2:6" ht="15">
      <c r="B19" s="228"/>
      <c r="C19" s="231"/>
      <c r="D19" s="229"/>
      <c r="E19" s="229"/>
      <c r="F19" s="229"/>
    </row>
    <row r="20" spans="2:7" ht="15">
      <c r="B20" s="228" t="s">
        <v>107</v>
      </c>
      <c r="C20" s="231">
        <v>81.46</v>
      </c>
      <c r="D20" s="229">
        <f>C20/$C$22*100</f>
        <v>0.3295034190125819</v>
      </c>
      <c r="E20" s="229">
        <v>95.76</v>
      </c>
      <c r="F20" s="229">
        <f>E20/$E$22*100</f>
        <v>0.3046694991342881</v>
      </c>
      <c r="G20" s="221">
        <f>E20-C20</f>
        <v>14.300000000000011</v>
      </c>
    </row>
    <row r="21" spans="2:6" ht="15.75" thickBot="1">
      <c r="B21" s="226"/>
      <c r="C21" s="231"/>
      <c r="D21" s="229"/>
      <c r="E21" s="229"/>
      <c r="F21" s="229"/>
    </row>
    <row r="22" spans="2:7" ht="15.75" thickBot="1">
      <c r="B22" s="235" t="s">
        <v>71</v>
      </c>
      <c r="C22" s="243">
        <f>SUM(C10:C20)</f>
        <v>24722.049999999996</v>
      </c>
      <c r="D22" s="236">
        <f>C22/$C$22*100</f>
        <v>100</v>
      </c>
      <c r="E22" s="236">
        <f>SUM(E10:E20)</f>
        <v>31430.780000000002</v>
      </c>
      <c r="F22" s="236">
        <f>E22/$E$22*100</f>
        <v>100</v>
      </c>
      <c r="G22" s="221">
        <f>E22-C22</f>
        <v>6708.730000000007</v>
      </c>
    </row>
    <row r="23" spans="2:6" ht="15">
      <c r="B23" s="226"/>
      <c r="C23" s="231"/>
      <c r="D23" s="229"/>
      <c r="E23" s="229"/>
      <c r="F23" s="229"/>
    </row>
    <row r="24" spans="2:6" ht="15">
      <c r="B24" s="228" t="s">
        <v>108</v>
      </c>
      <c r="C24" s="231"/>
      <c r="D24" s="229"/>
      <c r="E24" s="229"/>
      <c r="F24" s="229"/>
    </row>
    <row r="25" spans="2:6" ht="15">
      <c r="B25" s="228"/>
      <c r="C25" s="231"/>
      <c r="D25" s="229"/>
      <c r="E25" s="229"/>
      <c r="F25" s="229"/>
    </row>
    <row r="26" spans="2:7" ht="15">
      <c r="B26" s="228" t="s">
        <v>109</v>
      </c>
      <c r="C26" s="231">
        <v>13913.93</v>
      </c>
      <c r="D26" s="229">
        <f>C26/$C$22*100</f>
        <v>56.28145724161225</v>
      </c>
      <c r="E26" s="229">
        <v>17400.47</v>
      </c>
      <c r="F26" s="229">
        <f>E26/$E$22*100</f>
        <v>55.36124143276113</v>
      </c>
      <c r="G26" s="221">
        <f>E26-C26</f>
        <v>3486.540000000001</v>
      </c>
    </row>
    <row r="27" spans="2:6" ht="15">
      <c r="B27" s="228"/>
      <c r="C27" s="231"/>
      <c r="D27" s="229"/>
      <c r="E27" s="229"/>
      <c r="F27" s="229"/>
    </row>
    <row r="28" spans="2:7" ht="15">
      <c r="B28" s="228" t="s">
        <v>110</v>
      </c>
      <c r="C28" s="231">
        <v>36.46</v>
      </c>
      <c r="D28" s="229">
        <f>C28/$C$22*100</f>
        <v>0.14747967907192164</v>
      </c>
      <c r="E28" s="229">
        <v>215.94</v>
      </c>
      <c r="F28" s="229">
        <f>E28/$E$22*100</f>
        <v>0.6870335384613426</v>
      </c>
      <c r="G28" s="221">
        <f>E28-C28</f>
        <v>179.48</v>
      </c>
    </row>
    <row r="29" spans="2:6" ht="15">
      <c r="B29" s="228"/>
      <c r="C29" s="231"/>
      <c r="D29" s="229"/>
      <c r="E29" s="229"/>
      <c r="F29" s="229"/>
    </row>
    <row r="30" spans="2:7" ht="15">
      <c r="B30" s="228" t="s">
        <v>113</v>
      </c>
      <c r="C30" s="231">
        <v>1306.33</v>
      </c>
      <c r="D30" s="229">
        <f>C30/$C$22*100</f>
        <v>5.284068271037395</v>
      </c>
      <c r="E30" s="229">
        <f>1346.55</f>
        <v>1346.55</v>
      </c>
      <c r="F30" s="229">
        <f>E30/$E$22*100</f>
        <v>4.284176211980739</v>
      </c>
      <c r="G30" s="221">
        <f>E30-C30</f>
        <v>40.22000000000003</v>
      </c>
    </row>
    <row r="31" spans="2:7" ht="15">
      <c r="B31" s="228"/>
      <c r="C31" s="231"/>
      <c r="D31" s="229"/>
      <c r="E31" s="229"/>
      <c r="F31" s="229"/>
      <c r="G31" s="221"/>
    </row>
    <row r="32" spans="2:7" ht="15">
      <c r="B32" s="228" t="s">
        <v>111</v>
      </c>
      <c r="C32" s="231">
        <v>388.48</v>
      </c>
      <c r="D32" s="229">
        <f>C32/$C$22*100</f>
        <v>1.571390722047727</v>
      </c>
      <c r="E32" s="229">
        <f>347.1-E28</f>
        <v>131.16000000000003</v>
      </c>
      <c r="F32" s="229">
        <f>E32/$E$22*100</f>
        <v>0.41729794806237713</v>
      </c>
      <c r="G32" s="221">
        <f>E32-C32</f>
        <v>-257.32</v>
      </c>
    </row>
    <row r="33" spans="2:6" ht="15">
      <c r="B33" s="228"/>
      <c r="C33" s="231"/>
      <c r="D33" s="229"/>
      <c r="E33" s="229"/>
      <c r="F33" s="229"/>
    </row>
    <row r="34" spans="2:7" ht="15">
      <c r="B34" s="228" t="s">
        <v>112</v>
      </c>
      <c r="C34" s="231">
        <v>-383.14</v>
      </c>
      <c r="D34" s="229">
        <f>C34/$C$22*100</f>
        <v>-1.5497905715747684</v>
      </c>
      <c r="E34" s="229">
        <v>-752.38</v>
      </c>
      <c r="F34" s="229">
        <f>E34/$E$22*100</f>
        <v>-2.3937681470202135</v>
      </c>
      <c r="G34" s="221">
        <f>E34-C34</f>
        <v>-369.24</v>
      </c>
    </row>
    <row r="35" spans="2:6" ht="15">
      <c r="B35" s="228"/>
      <c r="C35" s="231"/>
      <c r="D35" s="229"/>
      <c r="E35" s="229"/>
      <c r="F35" s="229"/>
    </row>
    <row r="36" spans="2:7" ht="15">
      <c r="B36" s="228" t="s">
        <v>114</v>
      </c>
      <c r="C36" s="231">
        <v>553.74</v>
      </c>
      <c r="D36" s="229">
        <f>C36/$C$22*100</f>
        <v>2.239862794549805</v>
      </c>
      <c r="E36" s="229">
        <v>826.2</v>
      </c>
      <c r="F36" s="229">
        <f>E36/$E$22*100</f>
        <v>2.6286334605759065</v>
      </c>
      <c r="G36" s="221">
        <f>E36-C36</f>
        <v>272.46000000000004</v>
      </c>
    </row>
    <row r="37" spans="2:6" ht="15">
      <c r="B37" s="228"/>
      <c r="C37" s="231"/>
      <c r="D37" s="229"/>
      <c r="E37" s="229"/>
      <c r="F37" s="229"/>
    </row>
    <row r="38" spans="2:7" ht="15">
      <c r="B38" s="228" t="s">
        <v>115</v>
      </c>
      <c r="C38" s="231">
        <v>149.63</v>
      </c>
      <c r="D38" s="229">
        <f>C38/$C$22*100</f>
        <v>0.6052491601626889</v>
      </c>
      <c r="E38" s="229">
        <f>1165.2-826.2</f>
        <v>339</v>
      </c>
      <c r="F38" s="229">
        <f>E38/$E$22*100</f>
        <v>1.0785605702435637</v>
      </c>
      <c r="G38" s="221">
        <f>E38-C38</f>
        <v>189.37</v>
      </c>
    </row>
    <row r="39" spans="2:6" ht="15">
      <c r="B39" s="228"/>
      <c r="C39" s="231"/>
      <c r="D39" s="229"/>
      <c r="E39" s="229"/>
      <c r="F39" s="229"/>
    </row>
    <row r="40" spans="2:7" ht="15">
      <c r="B40" s="228" t="s">
        <v>116</v>
      </c>
      <c r="C40" s="231">
        <v>71.34</v>
      </c>
      <c r="D40" s="229">
        <f>C40/$C$22*100</f>
        <v>0.2885683023859268</v>
      </c>
      <c r="E40" s="229">
        <v>96.11</v>
      </c>
      <c r="F40" s="229">
        <f>E40/$E$22*100</f>
        <v>0.30578305724515903</v>
      </c>
      <c r="G40" s="221">
        <f>E40-C40</f>
        <v>24.769999999999996</v>
      </c>
    </row>
    <row r="41" spans="2:6" ht="15">
      <c r="B41" s="228"/>
      <c r="C41" s="231"/>
      <c r="D41" s="229"/>
      <c r="E41" s="229"/>
      <c r="F41" s="229"/>
    </row>
    <row r="42" spans="2:7" ht="15">
      <c r="B42" s="228" t="s">
        <v>117</v>
      </c>
      <c r="C42" s="231">
        <v>2677.88</v>
      </c>
      <c r="D42" s="229">
        <f>C42/$C$22*100</f>
        <v>10.831949615828787</v>
      </c>
      <c r="E42" s="229">
        <v>3776.37</v>
      </c>
      <c r="F42" s="229">
        <f>E42/$E$22*100</f>
        <v>12.014878408999076</v>
      </c>
      <c r="G42" s="221">
        <f>E42-C42</f>
        <v>1098.4899999999998</v>
      </c>
    </row>
    <row r="43" spans="2:6" ht="15">
      <c r="B43" s="228"/>
      <c r="C43" s="231"/>
      <c r="D43" s="229"/>
      <c r="E43" s="229"/>
      <c r="F43" s="229"/>
    </row>
    <row r="44" spans="2:7" ht="15">
      <c r="B44" s="228" t="s">
        <v>118</v>
      </c>
      <c r="C44" s="231">
        <v>585.16</v>
      </c>
      <c r="D44" s="229">
        <f>C44/$C$22*100</f>
        <v>2.3669558147483727</v>
      </c>
      <c r="E44" s="229">
        <f>802.42</f>
        <v>802.42</v>
      </c>
      <c r="F44" s="229">
        <f>E44/$E$22*100</f>
        <v>2.5529751409287327</v>
      </c>
      <c r="G44" s="221">
        <f>E44-C44</f>
        <v>217.26</v>
      </c>
    </row>
    <row r="45" spans="2:6" ht="15">
      <c r="B45" s="228"/>
      <c r="C45" s="231"/>
      <c r="D45" s="229"/>
      <c r="E45" s="229"/>
      <c r="F45" s="229"/>
    </row>
    <row r="46" spans="2:7" ht="15">
      <c r="B46" s="228" t="s">
        <v>119</v>
      </c>
      <c r="C46" s="231">
        <v>1070.51</v>
      </c>
      <c r="D46" s="229">
        <f>C46/$C$22*100</f>
        <v>4.330182974308361</v>
      </c>
      <c r="E46" s="229">
        <v>1345.67</v>
      </c>
      <c r="F46" s="229">
        <f>E46/$E$22*100</f>
        <v>4.28137640873055</v>
      </c>
      <c r="G46" s="221">
        <f>E46-C46</f>
        <v>275.1600000000001</v>
      </c>
    </row>
    <row r="47" spans="2:6" ht="15.75" thickBot="1">
      <c r="B47" s="228"/>
      <c r="C47" s="231"/>
      <c r="D47" s="229"/>
      <c r="E47" s="229"/>
      <c r="F47" s="229"/>
    </row>
    <row r="48" spans="2:7" ht="15.75" thickBot="1">
      <c r="B48" s="235" t="s">
        <v>120</v>
      </c>
      <c r="C48" s="243">
        <f>SUM(C26:C47)</f>
        <v>20370.319999999996</v>
      </c>
      <c r="D48" s="236">
        <f>C48/$C$22*100</f>
        <v>82.39737400417846</v>
      </c>
      <c r="E48" s="236">
        <f>SUM(E26:E47)</f>
        <v>25527.509999999995</v>
      </c>
      <c r="F48" s="236">
        <f>E48/$E$22*100</f>
        <v>81.21818803096834</v>
      </c>
      <c r="G48" s="221">
        <f>E48-C48</f>
        <v>5157.189999999999</v>
      </c>
    </row>
    <row r="49" spans="2:6" ht="15.75" thickBot="1">
      <c r="B49" s="228"/>
      <c r="C49" s="231"/>
      <c r="D49" s="229"/>
      <c r="E49" s="229"/>
      <c r="F49" s="229"/>
    </row>
    <row r="50" spans="2:7" ht="15.75" thickBot="1">
      <c r="B50" s="235" t="s">
        <v>121</v>
      </c>
      <c r="C50" s="243">
        <f>C22-C48</f>
        <v>4351.73</v>
      </c>
      <c r="D50" s="236">
        <f>C50/$C$22*100</f>
        <v>17.602625995821544</v>
      </c>
      <c r="E50" s="236">
        <f>E22-E48</f>
        <v>5903.270000000008</v>
      </c>
      <c r="F50" s="236">
        <f>E50/$E$22*100</f>
        <v>18.781811969031654</v>
      </c>
      <c r="G50" s="221">
        <f>E50-C50</f>
        <v>1551.5400000000081</v>
      </c>
    </row>
    <row r="51" spans="2:6" ht="15">
      <c r="B51" s="228"/>
      <c r="C51" s="231"/>
      <c r="D51" s="229"/>
      <c r="E51" s="229"/>
      <c r="F51" s="229"/>
    </row>
    <row r="52" spans="2:6" ht="15">
      <c r="B52" s="228" t="s">
        <v>122</v>
      </c>
      <c r="C52" s="231"/>
      <c r="D52" s="229"/>
      <c r="E52" s="229"/>
      <c r="F52" s="229"/>
    </row>
    <row r="53" spans="2:6" ht="15">
      <c r="B53" s="228"/>
      <c r="C53" s="231"/>
      <c r="D53" s="229"/>
      <c r="E53" s="229"/>
      <c r="F53" s="229"/>
    </row>
    <row r="54" spans="2:7" ht="15">
      <c r="B54" s="228" t="s">
        <v>123</v>
      </c>
      <c r="C54" s="231">
        <f>76.21+2966.54-91.09+15</f>
        <v>2966.66</v>
      </c>
      <c r="D54" s="229">
        <f>C54/$C$22*100</f>
        <v>12.000056629607982</v>
      </c>
      <c r="E54" s="229">
        <v>3364.84</v>
      </c>
      <c r="F54" s="229">
        <f>E54/$E$22*100</f>
        <v>10.70555678223703</v>
      </c>
      <c r="G54" s="221">
        <f>E54-C54</f>
        <v>398.1800000000003</v>
      </c>
    </row>
    <row r="55" spans="2:6" ht="13.5" customHeight="1">
      <c r="B55" s="228"/>
      <c r="C55" s="231"/>
      <c r="D55" s="229"/>
      <c r="E55" s="229"/>
      <c r="F55" s="229"/>
    </row>
    <row r="56" spans="2:6" ht="13.5" customHeight="1">
      <c r="B56" s="228" t="s">
        <v>226</v>
      </c>
      <c r="C56" s="231">
        <v>290.69</v>
      </c>
      <c r="D56" s="229">
        <f>C56/$C$22*100</f>
        <v>1.1758329102966787</v>
      </c>
      <c r="E56" s="229">
        <v>0</v>
      </c>
      <c r="F56" s="229">
        <f>E56/$E$22*100</f>
        <v>0</v>
      </c>
    </row>
    <row r="57" spans="2:6" ht="13.5" customHeight="1">
      <c r="B57" s="228"/>
      <c r="C57" s="231"/>
      <c r="D57" s="229"/>
      <c r="E57" s="229"/>
      <c r="F57" s="229"/>
    </row>
    <row r="58" spans="2:7" ht="15">
      <c r="B58" s="228" t="s">
        <v>125</v>
      </c>
      <c r="C58" s="231">
        <f>1115.92-290.69</f>
        <v>825.23</v>
      </c>
      <c r="D58" s="229">
        <f>C58/$C$22*100</f>
        <v>3.3380322424718023</v>
      </c>
      <c r="E58" s="229">
        <f>779.66-127.31+167.29</f>
        <v>819.6399999999999</v>
      </c>
      <c r="F58" s="229">
        <f>E58/$E$22*100</f>
        <v>2.6077621999835823</v>
      </c>
      <c r="G58" s="221">
        <f>E58-C58</f>
        <v>-5.5900000000001455</v>
      </c>
    </row>
    <row r="59" spans="2:6" ht="15.75" thickBot="1">
      <c r="B59" s="228"/>
      <c r="C59" s="231"/>
      <c r="D59" s="229"/>
      <c r="E59" s="229"/>
      <c r="F59" s="229"/>
    </row>
    <row r="60" spans="2:7" ht="15.75" thickBot="1">
      <c r="B60" s="235" t="s">
        <v>126</v>
      </c>
      <c r="C60" s="243">
        <f>SUM(C52:C59)</f>
        <v>4082.58</v>
      </c>
      <c r="D60" s="236">
        <f>C60/$C$22*100</f>
        <v>16.513921782376464</v>
      </c>
      <c r="E60" s="236">
        <f>SUM(E52:E59)</f>
        <v>4184.48</v>
      </c>
      <c r="F60" s="236">
        <f>E60/$E$22*100</f>
        <v>13.31331898222061</v>
      </c>
      <c r="G60" s="221">
        <f>E60-C60</f>
        <v>101.89999999999964</v>
      </c>
    </row>
    <row r="61" spans="2:6" ht="15.75" thickBot="1">
      <c r="B61" s="228"/>
      <c r="C61" s="231"/>
      <c r="D61" s="229"/>
      <c r="E61" s="229"/>
      <c r="F61" s="229"/>
    </row>
    <row r="62" spans="2:7" ht="15">
      <c r="B62" s="224" t="s">
        <v>127</v>
      </c>
      <c r="C62" s="244">
        <f>C50-C60</f>
        <v>269.14999999999964</v>
      </c>
      <c r="D62" s="237">
        <f>C62/$C$22*100</f>
        <v>1.088704213445081</v>
      </c>
      <c r="E62" s="237">
        <f>E50-E60</f>
        <v>1718.7900000000081</v>
      </c>
      <c r="F62" s="237">
        <f>E62/$E$22*100</f>
        <v>5.468492986811043</v>
      </c>
      <c r="G62" s="221">
        <f>E62-C62</f>
        <v>1449.6400000000085</v>
      </c>
    </row>
    <row r="63" spans="2:6" ht="15.75" thickBot="1">
      <c r="B63" s="232" t="s">
        <v>128</v>
      </c>
      <c r="C63" s="245"/>
      <c r="D63" s="238"/>
      <c r="E63" s="238"/>
      <c r="F63" s="238"/>
    </row>
    <row r="64" spans="2:6" ht="15">
      <c r="B64" s="228"/>
      <c r="C64" s="231"/>
      <c r="D64" s="229"/>
      <c r="E64" s="229"/>
      <c r="F64" s="229"/>
    </row>
    <row r="65" spans="2:7" ht="15">
      <c r="B65" s="228" t="s">
        <v>128</v>
      </c>
      <c r="C65" s="231">
        <v>1483.81</v>
      </c>
      <c r="D65" s="229">
        <f>C65/$C$22*100</f>
        <v>6.001969901363358</v>
      </c>
      <c r="E65" s="229">
        <f>1244.71+127.31</f>
        <v>1372.02</v>
      </c>
      <c r="F65" s="229">
        <f>E65/$E$22*100</f>
        <v>4.365211426506119</v>
      </c>
      <c r="G65" s="221">
        <f>E65-C65</f>
        <v>-111.78999999999996</v>
      </c>
    </row>
    <row r="66" spans="2:6" ht="15.75" thickBot="1">
      <c r="B66" s="228"/>
      <c r="C66" s="231"/>
      <c r="D66" s="229"/>
      <c r="E66" s="229"/>
      <c r="F66" s="229"/>
    </row>
    <row r="67" spans="2:7" ht="15.75" thickBot="1">
      <c r="B67" s="235" t="s">
        <v>129</v>
      </c>
      <c r="C67" s="243">
        <f>C62-C65</f>
        <v>-1214.6600000000003</v>
      </c>
      <c r="D67" s="236">
        <f>C67/$C$22*100</f>
        <v>-4.913265687918277</v>
      </c>
      <c r="E67" s="236">
        <f>E62-E65</f>
        <v>346.77000000000817</v>
      </c>
      <c r="F67" s="236">
        <f>E67/$E$22*100</f>
        <v>1.1032815603049244</v>
      </c>
      <c r="G67" s="221">
        <f>E67-C67</f>
        <v>1561.4300000000085</v>
      </c>
    </row>
    <row r="68" spans="2:6" ht="15">
      <c r="B68" s="228"/>
      <c r="C68" s="231"/>
      <c r="D68" s="229"/>
      <c r="E68" s="229"/>
      <c r="F68" s="229"/>
    </row>
    <row r="69" spans="2:7" ht="15">
      <c r="B69" s="228" t="s">
        <v>77</v>
      </c>
      <c r="C69" s="231">
        <v>1094.08</v>
      </c>
      <c r="D69" s="229">
        <f>C69/$C$22*100</f>
        <v>4.42552296431728</v>
      </c>
      <c r="E69" s="229">
        <v>1089.58</v>
      </c>
      <c r="F69" s="229">
        <f>E69/$E$22*100</f>
        <v>3.466601846979298</v>
      </c>
      <c r="G69" s="221">
        <f>E69-C69</f>
        <v>-4.5</v>
      </c>
    </row>
    <row r="70" spans="2:6" ht="15.75" thickBot="1">
      <c r="B70" s="226"/>
      <c r="C70" s="231"/>
      <c r="D70" s="229"/>
      <c r="E70" s="229"/>
      <c r="F70" s="229"/>
    </row>
    <row r="71" spans="2:7" ht="15">
      <c r="B71" s="224" t="s">
        <v>132</v>
      </c>
      <c r="C71" s="244">
        <f>C67-C69</f>
        <v>-2308.7400000000002</v>
      </c>
      <c r="D71" s="237">
        <f>C71/$C$22*100</f>
        <v>-9.338788652235557</v>
      </c>
      <c r="E71" s="237">
        <f>E67-E69</f>
        <v>-742.8099999999918</v>
      </c>
      <c r="F71" s="237">
        <f>E71/$E$22*100</f>
        <v>-2.363320286674374</v>
      </c>
      <c r="G71" s="221">
        <f>E71-C71</f>
        <v>1565.9300000000085</v>
      </c>
    </row>
    <row r="72" spans="2:6" ht="15.75" thickBot="1">
      <c r="B72" s="232" t="s">
        <v>223</v>
      </c>
      <c r="C72" s="242"/>
      <c r="D72" s="232"/>
      <c r="E72" s="232"/>
      <c r="F72" s="232"/>
    </row>
    <row r="73" spans="3:6" ht="17.25" customHeight="1">
      <c r="C73" s="240"/>
      <c r="D73" s="219"/>
      <c r="E73" s="219"/>
      <c r="F73" s="219"/>
    </row>
    <row r="74" spans="3:6" ht="15" hidden="1">
      <c r="C74" s="219"/>
      <c r="D74" s="219"/>
      <c r="E74" s="219"/>
      <c r="F74" s="219"/>
    </row>
    <row r="75" spans="2:6" ht="15" hidden="1">
      <c r="B75" s="219" t="s">
        <v>131</v>
      </c>
      <c r="C75" s="220"/>
      <c r="D75" s="220"/>
      <c r="E75" s="220"/>
      <c r="F75" s="220"/>
    </row>
    <row r="76" ht="15" hidden="1"/>
  </sheetData>
  <mergeCells count="4">
    <mergeCell ref="C5:D5"/>
    <mergeCell ref="C6:D6"/>
    <mergeCell ref="E5:F5"/>
    <mergeCell ref="E6:F6"/>
  </mergeCells>
  <printOptions/>
  <pageMargins left="1" right="0.25" top="0.25" bottom="0.25" header="0.5" footer="0.5"/>
  <pageSetup fitToHeight="1" fitToWidth="1" horizontalDpi="180" verticalDpi="180" orientation="portrait" paperSize="9" scale="71" r:id="rId1"/>
</worksheet>
</file>

<file path=xl/worksheets/sheet11.xml><?xml version="1.0" encoding="utf-8"?>
<worksheet xmlns="http://schemas.openxmlformats.org/spreadsheetml/2006/main" xmlns:r="http://schemas.openxmlformats.org/officeDocument/2006/relationships">
  <sheetPr>
    <pageSetUpPr fitToPage="1"/>
  </sheetPr>
  <dimension ref="B1:G90"/>
  <sheetViews>
    <sheetView workbookViewId="0" topLeftCell="A1">
      <selection activeCell="C22" sqref="C22"/>
    </sheetView>
  </sheetViews>
  <sheetFormatPr defaultColWidth="9.140625" defaultRowHeight="12.75"/>
  <cols>
    <col min="1" max="1" width="9.140625" style="218" customWidth="1"/>
    <col min="2" max="2" width="35.7109375" style="218" customWidth="1"/>
    <col min="3" max="4" width="14.57421875" style="218" customWidth="1"/>
    <col min="5" max="5" width="12.8515625" style="218" bestFit="1" customWidth="1"/>
    <col min="6" max="6" width="10.00390625" style="218" customWidth="1"/>
    <col min="7" max="7" width="10.28125" style="218" hidden="1" customWidth="1"/>
    <col min="8" max="16384" width="10.28125" style="218" customWidth="1"/>
  </cols>
  <sheetData>
    <row r="1" ht="15">
      <c r="B1" s="219" t="s">
        <v>227</v>
      </c>
    </row>
    <row r="2" ht="15">
      <c r="B2" s="219"/>
    </row>
    <row r="3" ht="16.5">
      <c r="B3" s="239" t="s">
        <v>219</v>
      </c>
    </row>
    <row r="4" ht="15.75" thickBot="1"/>
    <row r="5" spans="3:7" ht="15.75" thickBot="1">
      <c r="C5" s="292" t="s">
        <v>69</v>
      </c>
      <c r="D5" s="293"/>
      <c r="E5" s="292" t="s">
        <v>69</v>
      </c>
      <c r="F5" s="293"/>
      <c r="G5" s="218" t="s">
        <v>220</v>
      </c>
    </row>
    <row r="6" spans="3:6" ht="15.75" thickBot="1">
      <c r="C6" s="268" t="s">
        <v>221</v>
      </c>
      <c r="D6" s="269"/>
      <c r="E6" s="268" t="s">
        <v>222</v>
      </c>
      <c r="F6" s="269"/>
    </row>
    <row r="7" spans="2:6" ht="15">
      <c r="B7" s="224" t="s">
        <v>12</v>
      </c>
      <c r="C7" s="225" t="s">
        <v>99</v>
      </c>
      <c r="D7" s="225" t="s">
        <v>100</v>
      </c>
      <c r="E7" s="225" t="s">
        <v>99</v>
      </c>
      <c r="F7" s="225" t="s">
        <v>100</v>
      </c>
    </row>
    <row r="8" spans="2:6" ht="15.75" thickBot="1">
      <c r="B8" s="233"/>
      <c r="C8" s="234" t="s">
        <v>101</v>
      </c>
      <c r="D8" s="233"/>
      <c r="E8" s="234" t="s">
        <v>101</v>
      </c>
      <c r="F8" s="233"/>
    </row>
    <row r="9" spans="2:6" ht="15">
      <c r="B9" s="226"/>
      <c r="C9" s="241"/>
      <c r="D9" s="226"/>
      <c r="E9" s="226"/>
      <c r="F9" s="226"/>
    </row>
    <row r="10" spans="2:7" ht="15">
      <c r="B10" s="228" t="s">
        <v>102</v>
      </c>
      <c r="C10" s="231">
        <v>3296.87</v>
      </c>
      <c r="D10" s="229">
        <f>C10/$C$22*100</f>
        <v>87.19548480432476</v>
      </c>
      <c r="E10" s="229">
        <v>3510.2</v>
      </c>
      <c r="F10" s="229">
        <f>E10/$E$22*100</f>
        <v>83.08617983937587</v>
      </c>
      <c r="G10" s="221">
        <f>E10-C10</f>
        <v>213.32999999999993</v>
      </c>
    </row>
    <row r="11" spans="2:6" ht="15">
      <c r="B11" s="228"/>
      <c r="C11" s="231"/>
      <c r="D11" s="229"/>
      <c r="E11" s="229"/>
      <c r="F11" s="229"/>
    </row>
    <row r="12" spans="2:7" ht="15">
      <c r="B12" s="228" t="s">
        <v>103</v>
      </c>
      <c r="C12" s="231">
        <v>0</v>
      </c>
      <c r="D12" s="229">
        <f>C12/$C$22*100</f>
        <v>0</v>
      </c>
      <c r="E12" s="229">
        <v>0</v>
      </c>
      <c r="F12" s="229">
        <f>E12/$E$22*100</f>
        <v>0</v>
      </c>
      <c r="G12" s="221">
        <f>E12-C12</f>
        <v>0</v>
      </c>
    </row>
    <row r="13" spans="2:6" ht="15">
      <c r="B13" s="228"/>
      <c r="C13" s="231"/>
      <c r="D13" s="229"/>
      <c r="E13" s="229"/>
      <c r="F13" s="229"/>
    </row>
    <row r="14" spans="2:7" ht="15">
      <c r="B14" s="228" t="s">
        <v>104</v>
      </c>
      <c r="C14" s="231">
        <v>27.4</v>
      </c>
      <c r="D14" s="229">
        <f>C14/$C$22*100</f>
        <v>0.7246740950169399</v>
      </c>
      <c r="E14" s="229">
        <v>11.83</v>
      </c>
      <c r="F14" s="229">
        <f>E14/$E$22*100</f>
        <v>0.28001524343337036</v>
      </c>
      <c r="G14" s="221">
        <f>E14-C14</f>
        <v>-15.569999999999999</v>
      </c>
    </row>
    <row r="15" spans="2:6" ht="15">
      <c r="B15" s="228"/>
      <c r="C15" s="231"/>
      <c r="D15" s="229"/>
      <c r="E15" s="229"/>
      <c r="F15" s="229"/>
    </row>
    <row r="16" spans="2:7" ht="15">
      <c r="B16" s="228" t="s">
        <v>105</v>
      </c>
      <c r="C16" s="231">
        <f>456.74-127.4</f>
        <v>329.34000000000003</v>
      </c>
      <c r="D16" s="229">
        <f>C16/$C$22*100</f>
        <v>8.710371038426242</v>
      </c>
      <c r="E16" s="229">
        <f>394.39+50.69+254.57</f>
        <v>699.65</v>
      </c>
      <c r="F16" s="229">
        <f>E16/$E$22*100</f>
        <v>16.560664840926254</v>
      </c>
      <c r="G16" s="221">
        <f>E16-C16</f>
        <v>370.30999999999995</v>
      </c>
    </row>
    <row r="17" spans="2:6" ht="15">
      <c r="B17" s="228"/>
      <c r="C17" s="231"/>
      <c r="D17" s="229"/>
      <c r="E17" s="229"/>
      <c r="F17" s="229"/>
    </row>
    <row r="18" spans="2:7" ht="15">
      <c r="B18" s="230" t="s">
        <v>106</v>
      </c>
      <c r="C18" s="231">
        <v>0</v>
      </c>
      <c r="D18" s="229">
        <f>C18/$C$22*100</f>
        <v>0</v>
      </c>
      <c r="E18" s="229">
        <v>3.09</v>
      </c>
      <c r="F18" s="229">
        <f>E18/$E$22*100</f>
        <v>0.0731400762645067</v>
      </c>
      <c r="G18" s="221">
        <f>E18-C18</f>
        <v>3.09</v>
      </c>
    </row>
    <row r="19" spans="2:6" ht="15">
      <c r="B19" s="228"/>
      <c r="C19" s="231"/>
      <c r="D19" s="229"/>
      <c r="E19" s="229"/>
      <c r="F19" s="229"/>
    </row>
    <row r="20" spans="2:7" ht="15">
      <c r="B20" s="228" t="s">
        <v>107</v>
      </c>
      <c r="C20" s="231">
        <v>127.4</v>
      </c>
      <c r="D20" s="229">
        <f>C20/$C$22*100</f>
        <v>3.3694700622320486</v>
      </c>
      <c r="E20" s="229">
        <v>0</v>
      </c>
      <c r="F20" s="229">
        <f>E20/$E$22*100</f>
        <v>0</v>
      </c>
      <c r="G20" s="221">
        <f>E20-C20</f>
        <v>-127.4</v>
      </c>
    </row>
    <row r="21" spans="2:6" ht="15.75" thickBot="1">
      <c r="B21" s="226"/>
      <c r="C21" s="231"/>
      <c r="D21" s="229"/>
      <c r="E21" s="229"/>
      <c r="F21" s="229"/>
    </row>
    <row r="22" spans="2:7" ht="15.75" thickBot="1">
      <c r="B22" s="235" t="s">
        <v>71</v>
      </c>
      <c r="C22" s="243">
        <f>SUM(C10:C20)</f>
        <v>3781.01</v>
      </c>
      <c r="D22" s="236">
        <f>C22/$C$22*100</f>
        <v>100</v>
      </c>
      <c r="E22" s="236">
        <f>SUM(E10:E20)</f>
        <v>4224.7699999999995</v>
      </c>
      <c r="F22" s="236">
        <f>E22/$E$22*100</f>
        <v>100</v>
      </c>
      <c r="G22" s="221">
        <f>E22-C22</f>
        <v>443.7599999999993</v>
      </c>
    </row>
    <row r="23" spans="2:6" ht="15">
      <c r="B23" s="226"/>
      <c r="C23" s="231"/>
      <c r="D23" s="229"/>
      <c r="E23" s="229"/>
      <c r="F23" s="229"/>
    </row>
    <row r="24" spans="2:6" ht="15">
      <c r="B24" s="228" t="s">
        <v>108</v>
      </c>
      <c r="C24" s="231"/>
      <c r="D24" s="229"/>
      <c r="E24" s="229"/>
      <c r="F24" s="229"/>
    </row>
    <row r="25" spans="2:6" ht="15">
      <c r="B25" s="228"/>
      <c r="C25" s="231"/>
      <c r="D25" s="229"/>
      <c r="E25" s="229"/>
      <c r="F25" s="229"/>
    </row>
    <row r="26" spans="2:7" ht="15">
      <c r="B26" s="228" t="s">
        <v>109</v>
      </c>
      <c r="C26" s="231">
        <f>1293.44+50.2+311.75</f>
        <v>1655.39</v>
      </c>
      <c r="D26" s="229">
        <f>C26/$C$22*100</f>
        <v>43.781687961682195</v>
      </c>
      <c r="E26" s="229">
        <f>1939.38-151.98</f>
        <v>1787.4</v>
      </c>
      <c r="F26" s="229">
        <f>E26/$E$22*100</f>
        <v>42.30762858096418</v>
      </c>
      <c r="G26" s="221">
        <f>E26-C26</f>
        <v>132.01</v>
      </c>
    </row>
    <row r="27" spans="2:6" ht="15">
      <c r="B27" s="228"/>
      <c r="C27" s="231"/>
      <c r="D27" s="229"/>
      <c r="E27" s="229"/>
      <c r="F27" s="229"/>
    </row>
    <row r="28" spans="2:7" ht="15">
      <c r="B28" s="228" t="s">
        <v>110</v>
      </c>
      <c r="C28" s="231">
        <v>0</v>
      </c>
      <c r="D28" s="229">
        <f>C28/$C$22*100</f>
        <v>0</v>
      </c>
      <c r="E28" s="229">
        <v>0</v>
      </c>
      <c r="F28" s="229">
        <f>E28/$E$22*100</f>
        <v>0</v>
      </c>
      <c r="G28" s="221">
        <f>E28-C28</f>
        <v>0</v>
      </c>
    </row>
    <row r="29" spans="2:6" ht="15">
      <c r="B29" s="228"/>
      <c r="C29" s="231"/>
      <c r="D29" s="229"/>
      <c r="E29" s="229"/>
      <c r="F29" s="229"/>
    </row>
    <row r="30" spans="2:7" ht="15">
      <c r="B30" s="228" t="s">
        <v>113</v>
      </c>
      <c r="C30" s="231">
        <v>220.94</v>
      </c>
      <c r="D30" s="229">
        <f>C30/$C$22*100</f>
        <v>5.843412209965062</v>
      </c>
      <c r="E30" s="229">
        <v>151.98</v>
      </c>
      <c r="F30" s="229">
        <f>E30/$E$22*100</f>
        <v>3.5973555956892325</v>
      </c>
      <c r="G30" s="221">
        <f>E30-C30</f>
        <v>-68.96000000000001</v>
      </c>
    </row>
    <row r="31" spans="2:7" ht="15">
      <c r="B31" s="228"/>
      <c r="C31" s="231"/>
      <c r="D31" s="229"/>
      <c r="E31" s="229"/>
      <c r="F31" s="229"/>
      <c r="G31" s="221"/>
    </row>
    <row r="32" spans="2:7" ht="15">
      <c r="B32" s="228" t="s">
        <v>111</v>
      </c>
      <c r="C32" s="231">
        <v>8.06</v>
      </c>
      <c r="D32" s="229">
        <f>C32/$C$22*100</f>
        <v>0.2131705549575378</v>
      </c>
      <c r="E32" s="229">
        <v>5.12</v>
      </c>
      <c r="F32" s="229">
        <f>E32/$E$22*100</f>
        <v>0.12119002927970045</v>
      </c>
      <c r="G32" s="221">
        <f>E32-C32</f>
        <v>-2.9400000000000004</v>
      </c>
    </row>
    <row r="33" spans="2:6" ht="15">
      <c r="B33" s="228"/>
      <c r="C33" s="231"/>
      <c r="D33" s="229"/>
      <c r="E33" s="229"/>
      <c r="F33" s="229"/>
    </row>
    <row r="34" spans="2:7" ht="15">
      <c r="B34" s="228" t="s">
        <v>112</v>
      </c>
      <c r="C34" s="231">
        <v>-376.44</v>
      </c>
      <c r="D34" s="229">
        <f>C34/$C$22*100</f>
        <v>-9.956069938984555</v>
      </c>
      <c r="E34" s="229">
        <v>21.78</v>
      </c>
      <c r="F34" s="229">
        <f>E34/$E$22*100</f>
        <v>0.5155310229906007</v>
      </c>
      <c r="G34" s="221">
        <f>E34-C34</f>
        <v>398.22</v>
      </c>
    </row>
    <row r="35" spans="2:6" ht="15">
      <c r="B35" s="228"/>
      <c r="C35" s="231"/>
      <c r="D35" s="229"/>
      <c r="E35" s="229"/>
      <c r="F35" s="229"/>
    </row>
    <row r="36" spans="2:7" ht="15">
      <c r="B36" s="228" t="s">
        <v>114</v>
      </c>
      <c r="C36" s="231">
        <v>102.2</v>
      </c>
      <c r="D36" s="229">
        <f>C36/$C$22*100</f>
        <v>2.7029814784938417</v>
      </c>
      <c r="E36" s="229">
        <v>100.89</v>
      </c>
      <c r="F36" s="229">
        <f>E36/$E$22*100</f>
        <v>2.3880589949275346</v>
      </c>
      <c r="G36" s="221">
        <f>E36-C36</f>
        <v>-1.3100000000000023</v>
      </c>
    </row>
    <row r="37" spans="2:6" ht="15">
      <c r="B37" s="228"/>
      <c r="C37" s="231"/>
      <c r="D37" s="229"/>
      <c r="E37" s="229"/>
      <c r="F37" s="229"/>
    </row>
    <row r="38" spans="2:7" ht="15">
      <c r="B38" s="228" t="s">
        <v>115</v>
      </c>
      <c r="C38" s="231">
        <v>77.87</v>
      </c>
      <c r="D38" s="229">
        <f>C38/$C$22*100</f>
        <v>2.0595026196704054</v>
      </c>
      <c r="E38" s="229">
        <f>214.4-100.89</f>
        <v>113.51</v>
      </c>
      <c r="F38" s="229">
        <f>E38/$E$22*100</f>
        <v>2.6867734811599218</v>
      </c>
      <c r="G38" s="221">
        <f>E38-C38</f>
        <v>35.64</v>
      </c>
    </row>
    <row r="39" spans="2:6" ht="15">
      <c r="B39" s="228"/>
      <c r="C39" s="231"/>
      <c r="D39" s="229"/>
      <c r="E39" s="229"/>
      <c r="F39" s="229"/>
    </row>
    <row r="40" spans="2:7" ht="15">
      <c r="B40" s="228" t="s">
        <v>116</v>
      </c>
      <c r="C40" s="231">
        <v>112.94</v>
      </c>
      <c r="D40" s="229">
        <f>C40/$C$22*100</f>
        <v>2.987032565372744</v>
      </c>
      <c r="E40" s="229">
        <v>139.76</v>
      </c>
      <c r="F40" s="229">
        <f>E40/$E$22*100</f>
        <v>3.308109080494323</v>
      </c>
      <c r="G40" s="221">
        <f>E40-C40</f>
        <v>26.819999999999993</v>
      </c>
    </row>
    <row r="41" spans="2:6" ht="15">
      <c r="B41" s="228"/>
      <c r="C41" s="231"/>
      <c r="D41" s="229"/>
      <c r="E41" s="229"/>
      <c r="F41" s="229"/>
    </row>
    <row r="42" spans="2:7" ht="15">
      <c r="B42" s="228" t="s">
        <v>117</v>
      </c>
      <c r="C42" s="231">
        <v>283.13</v>
      </c>
      <c r="D42" s="229">
        <f>C42/$C$22*100</f>
        <v>7.488210821976137</v>
      </c>
      <c r="E42" s="229">
        <v>277.15</v>
      </c>
      <c r="F42" s="229">
        <f>E42/$E$22*100</f>
        <v>6.560120432591597</v>
      </c>
      <c r="G42" s="221">
        <f>E42-C42</f>
        <v>-5.980000000000018</v>
      </c>
    </row>
    <row r="43" spans="2:6" ht="15">
      <c r="B43" s="228"/>
      <c r="C43" s="231"/>
      <c r="D43" s="229"/>
      <c r="E43" s="229"/>
      <c r="F43" s="229"/>
    </row>
    <row r="44" spans="2:7" ht="15">
      <c r="B44" s="228" t="s">
        <v>118</v>
      </c>
      <c r="C44" s="231">
        <v>22.56</v>
      </c>
      <c r="D44" s="229">
        <f>C44/$C$22*100</f>
        <v>0.5966659702037286</v>
      </c>
      <c r="E44" s="229">
        <v>26.08</v>
      </c>
      <c r="F44" s="229">
        <f>E44/$E$22*100</f>
        <v>0.6173117116434741</v>
      </c>
      <c r="G44" s="221">
        <f>E44-C44</f>
        <v>3.5199999999999996</v>
      </c>
    </row>
    <row r="45" spans="2:6" ht="15">
      <c r="B45" s="228"/>
      <c r="C45" s="231"/>
      <c r="D45" s="229"/>
      <c r="E45" s="229"/>
      <c r="F45" s="229"/>
    </row>
    <row r="46" spans="2:7" ht="15">
      <c r="B46" s="228" t="s">
        <v>119</v>
      </c>
      <c r="C46" s="231">
        <v>264.09</v>
      </c>
      <c r="D46" s="229">
        <f>C46/$C$22*100</f>
        <v>6.984641669818381</v>
      </c>
      <c r="E46" s="229">
        <v>187.25</v>
      </c>
      <c r="F46" s="229">
        <f>E46/$E$22*100</f>
        <v>4.432193941918732</v>
      </c>
      <c r="G46" s="221">
        <f>E46-C46</f>
        <v>-76.83999999999997</v>
      </c>
    </row>
    <row r="47" spans="2:6" ht="15.75" thickBot="1">
      <c r="B47" s="228"/>
      <c r="C47" s="231"/>
      <c r="D47" s="229"/>
      <c r="E47" s="229"/>
      <c r="F47" s="229"/>
    </row>
    <row r="48" spans="2:7" ht="15.75" thickBot="1">
      <c r="B48" s="235" t="s">
        <v>120</v>
      </c>
      <c r="C48" s="236">
        <f>SUM(C26:C47)</f>
        <v>2370.7400000000002</v>
      </c>
      <c r="D48" s="236">
        <f>C48/$C$22*100</f>
        <v>62.701235913155486</v>
      </c>
      <c r="E48" s="236">
        <f>SUM(E26:E47)</f>
        <v>2810.9200000000005</v>
      </c>
      <c r="F48" s="236">
        <f>E48/$E$22*100</f>
        <v>66.53427287165931</v>
      </c>
      <c r="G48" s="221">
        <f>E48-C48</f>
        <v>440.1800000000003</v>
      </c>
    </row>
    <row r="49" spans="2:6" ht="15.75" thickBot="1">
      <c r="B49" s="228"/>
      <c r="C49" s="229"/>
      <c r="D49" s="229"/>
      <c r="E49" s="229"/>
      <c r="F49" s="229"/>
    </row>
    <row r="50" spans="2:7" ht="15.75" thickBot="1">
      <c r="B50" s="235" t="s">
        <v>121</v>
      </c>
      <c r="C50" s="236">
        <f>C22-C48</f>
        <v>1410.27</v>
      </c>
      <c r="D50" s="236">
        <f>C50/$C$22*100</f>
        <v>37.298764086844514</v>
      </c>
      <c r="E50" s="236">
        <f>E22-E48</f>
        <v>1413.849999999999</v>
      </c>
      <c r="F50" s="236">
        <f>E50/$E$22*100</f>
        <v>33.465727128340696</v>
      </c>
      <c r="G50" s="221">
        <f>E50-C50</f>
        <v>3.5799999999990177</v>
      </c>
    </row>
    <row r="51" spans="2:6" ht="15">
      <c r="B51" s="246"/>
      <c r="C51" s="237"/>
      <c r="D51" s="247"/>
      <c r="E51" s="229"/>
      <c r="F51" s="229"/>
    </row>
    <row r="52" spans="2:6" ht="15">
      <c r="B52" s="246" t="s">
        <v>122</v>
      </c>
      <c r="C52" s="229"/>
      <c r="D52" s="247"/>
      <c r="E52" s="229"/>
      <c r="F52" s="229"/>
    </row>
    <row r="53" spans="2:6" ht="15">
      <c r="B53" s="246"/>
      <c r="C53" s="231"/>
      <c r="D53" s="247"/>
      <c r="E53" s="229"/>
      <c r="F53" s="229"/>
    </row>
    <row r="54" spans="2:7" ht="15">
      <c r="B54" s="246" t="s">
        <v>123</v>
      </c>
      <c r="C54" s="231">
        <v>731.64</v>
      </c>
      <c r="D54" s="247">
        <f>C54/$C$22*100</f>
        <v>19.350385214532622</v>
      </c>
      <c r="E54" s="229">
        <v>649.09</v>
      </c>
      <c r="F54" s="229">
        <f>E54/$E$22*100</f>
        <v>15.36391330178921</v>
      </c>
      <c r="G54" s="221">
        <f>E54-C54</f>
        <v>-82.54999999999995</v>
      </c>
    </row>
    <row r="55" spans="2:6" ht="13.5" customHeight="1">
      <c r="B55" s="246"/>
      <c r="C55" s="231"/>
      <c r="D55" s="247"/>
      <c r="E55" s="229"/>
      <c r="F55" s="229"/>
    </row>
    <row r="56" spans="2:6" ht="13.5" customHeight="1">
      <c r="B56" s="246" t="s">
        <v>226</v>
      </c>
      <c r="C56" s="229">
        <v>0</v>
      </c>
      <c r="D56" s="247">
        <f>C56/$C$22*100</f>
        <v>0</v>
      </c>
      <c r="E56" s="229">
        <v>24.82</v>
      </c>
      <c r="F56" s="229">
        <f>E56/$E$22*100</f>
        <v>0.5874876028754228</v>
      </c>
    </row>
    <row r="57" spans="2:6" ht="13.5" customHeight="1">
      <c r="B57" s="246"/>
      <c r="C57" s="231"/>
      <c r="D57" s="247"/>
      <c r="E57" s="229"/>
      <c r="F57" s="229"/>
    </row>
    <row r="58" spans="2:7" ht="15">
      <c r="B58" s="246" t="s">
        <v>125</v>
      </c>
      <c r="C58" s="231">
        <f>22.95+7.64+17.76+16.84+1.35+0.14+0.53+114.75+104.77+12.77+0.74</f>
        <v>300.23999999999995</v>
      </c>
      <c r="D58" s="247">
        <f>C58/$C$22*100</f>
        <v>7.940735411966641</v>
      </c>
      <c r="E58" s="229">
        <f>177.74-26.08-29.08-24.82</f>
        <v>97.76000000000002</v>
      </c>
      <c r="F58" s="229">
        <f>E58/$E$22*100</f>
        <v>2.313972121559281</v>
      </c>
      <c r="G58" s="221">
        <f>E58-C58</f>
        <v>-202.47999999999993</v>
      </c>
    </row>
    <row r="59" spans="2:6" ht="15.75" thickBot="1">
      <c r="B59" s="246"/>
      <c r="C59" s="245"/>
      <c r="D59" s="247"/>
      <c r="E59" s="229"/>
      <c r="F59" s="229"/>
    </row>
    <row r="60" spans="2:7" ht="15.75" thickBot="1">
      <c r="B60" s="235" t="s">
        <v>126</v>
      </c>
      <c r="C60" s="238">
        <f>SUM(C52:C59)</f>
        <v>1031.8799999999999</v>
      </c>
      <c r="D60" s="236">
        <f>C60/$C$22*100</f>
        <v>27.291120626499264</v>
      </c>
      <c r="E60" s="236">
        <f>SUM(E52:E59)</f>
        <v>771.6700000000001</v>
      </c>
      <c r="F60" s="236">
        <f>E60/$E$22*100</f>
        <v>18.265373026223916</v>
      </c>
      <c r="G60" s="221">
        <f>E60-C60</f>
        <v>-260.2099999999998</v>
      </c>
    </row>
    <row r="61" spans="2:6" ht="15.75" thickBot="1">
      <c r="B61" s="228"/>
      <c r="C61" s="229"/>
      <c r="D61" s="229"/>
      <c r="E61" s="229"/>
      <c r="F61" s="229"/>
    </row>
    <row r="62" spans="2:7" ht="15">
      <c r="B62" s="224" t="s">
        <v>127</v>
      </c>
      <c r="C62" s="237">
        <f>C50-C60</f>
        <v>378.3900000000001</v>
      </c>
      <c r="D62" s="237">
        <f>C62/$C$22*100</f>
        <v>10.007643460345255</v>
      </c>
      <c r="E62" s="237">
        <f>E50-E60</f>
        <v>642.1799999999989</v>
      </c>
      <c r="F62" s="237">
        <f>E62/$E$22*100</f>
        <v>15.200354102116778</v>
      </c>
      <c r="G62" s="221">
        <f>E62-C62</f>
        <v>263.7899999999988</v>
      </c>
    </row>
    <row r="63" spans="2:6" ht="15.75" thickBot="1">
      <c r="B63" s="232" t="s">
        <v>128</v>
      </c>
      <c r="C63" s="238"/>
      <c r="D63" s="238"/>
      <c r="E63" s="238"/>
      <c r="F63" s="238"/>
    </row>
    <row r="64" spans="2:6" ht="15">
      <c r="B64" s="228"/>
      <c r="C64" s="231"/>
      <c r="D64" s="229"/>
      <c r="E64" s="229"/>
      <c r="F64" s="229"/>
    </row>
    <row r="65" spans="2:7" ht="15">
      <c r="B65" s="228" t="s">
        <v>128</v>
      </c>
      <c r="C65" s="231">
        <v>128.52</v>
      </c>
      <c r="D65" s="229">
        <f>C65/$C$22*100</f>
        <v>3.399091777064858</v>
      </c>
      <c r="E65" s="229">
        <f>79.66+29.08</f>
        <v>108.74</v>
      </c>
      <c r="F65" s="229">
        <f>E65/$E$22*100</f>
        <v>2.573867926538013</v>
      </c>
      <c r="G65" s="221">
        <f>E65-C65</f>
        <v>-19.780000000000015</v>
      </c>
    </row>
    <row r="66" spans="2:6" ht="15.75" thickBot="1">
      <c r="B66" s="228"/>
      <c r="C66" s="231"/>
      <c r="D66" s="229"/>
      <c r="E66" s="229"/>
      <c r="F66" s="229"/>
    </row>
    <row r="67" spans="2:7" ht="15.75" thickBot="1">
      <c r="B67" s="235" t="s">
        <v>129</v>
      </c>
      <c r="C67" s="236">
        <f>C62-C65</f>
        <v>249.8700000000001</v>
      </c>
      <c r="D67" s="236">
        <f>C67/$C$22*100</f>
        <v>6.608551683280394</v>
      </c>
      <c r="E67" s="236">
        <f>E62-E65</f>
        <v>533.4399999999989</v>
      </c>
      <c r="F67" s="236">
        <f>E67/$E$22*100</f>
        <v>12.626486175578766</v>
      </c>
      <c r="G67" s="221">
        <f>E67-C67</f>
        <v>283.5699999999988</v>
      </c>
    </row>
    <row r="68" spans="2:6" ht="15">
      <c r="B68" s="228"/>
      <c r="C68" s="231"/>
      <c r="D68" s="229"/>
      <c r="E68" s="229"/>
      <c r="F68" s="229"/>
    </row>
    <row r="69" spans="2:7" ht="15">
      <c r="B69" s="228" t="s">
        <v>77</v>
      </c>
      <c r="C69" s="231">
        <v>149.77</v>
      </c>
      <c r="D69" s="229">
        <f>C69/$C$22*100</f>
        <v>3.961110920098069</v>
      </c>
      <c r="E69" s="229">
        <v>133.44</v>
      </c>
      <c r="F69" s="229">
        <f>E69/$E$22*100</f>
        <v>3.1585151381021928</v>
      </c>
      <c r="G69" s="221">
        <f>E69-C69</f>
        <v>-16.330000000000013</v>
      </c>
    </row>
    <row r="70" spans="2:6" ht="15.75" thickBot="1">
      <c r="B70" s="226"/>
      <c r="C70" s="231"/>
      <c r="D70" s="229"/>
      <c r="E70" s="229"/>
      <c r="F70" s="229"/>
    </row>
    <row r="71" spans="2:7" ht="15">
      <c r="B71" s="224" t="s">
        <v>132</v>
      </c>
      <c r="C71" s="237">
        <f>C67-C69</f>
        <v>100.10000000000008</v>
      </c>
      <c r="D71" s="237">
        <f>C71/$C$22*100</f>
        <v>2.6474407631823262</v>
      </c>
      <c r="E71" s="237">
        <f>E67-E69</f>
        <v>399.9999999999989</v>
      </c>
      <c r="F71" s="237">
        <f>E71/$E$22*100</f>
        <v>9.467971037476572</v>
      </c>
      <c r="G71" s="221">
        <f>E71-C71</f>
        <v>299.89999999999884</v>
      </c>
    </row>
    <row r="72" spans="2:6" ht="15.75" thickBot="1">
      <c r="B72" s="232" t="s">
        <v>223</v>
      </c>
      <c r="C72" s="232"/>
      <c r="D72" s="232"/>
      <c r="E72" s="232"/>
      <c r="F72" s="232"/>
    </row>
    <row r="73" spans="3:6" ht="10.5" customHeight="1">
      <c r="C73" s="219"/>
      <c r="D73" s="219"/>
      <c r="E73" s="219"/>
      <c r="F73" s="219"/>
    </row>
    <row r="74" spans="3:6" ht="15" hidden="1">
      <c r="C74" s="219"/>
      <c r="D74" s="219"/>
      <c r="E74" s="219"/>
      <c r="F74" s="219"/>
    </row>
    <row r="75" spans="2:6" ht="15" hidden="1">
      <c r="B75" s="219" t="s">
        <v>131</v>
      </c>
      <c r="C75" s="220"/>
      <c r="D75" s="220"/>
      <c r="E75" s="220"/>
      <c r="F75" s="220"/>
    </row>
    <row r="76" ht="15" hidden="1"/>
    <row r="77" ht="3.75" customHeight="1" hidden="1"/>
    <row r="78" spans="2:6" ht="15" hidden="1">
      <c r="B78" s="219" t="s">
        <v>132</v>
      </c>
      <c r="C78" s="220"/>
      <c r="D78" s="220"/>
      <c r="E78" s="220"/>
      <c r="F78" s="220"/>
    </row>
    <row r="79" ht="15" hidden="1">
      <c r="B79" s="219" t="s">
        <v>133</v>
      </c>
    </row>
    <row r="80" ht="15" hidden="1"/>
    <row r="81" ht="15" hidden="1"/>
    <row r="82" ht="15" hidden="1"/>
    <row r="83" ht="15" hidden="1"/>
    <row r="84" ht="15" hidden="1">
      <c r="B84" s="219" t="s">
        <v>134</v>
      </c>
    </row>
    <row r="85" spans="2:6" ht="15" hidden="1">
      <c r="B85" s="219" t="s">
        <v>224</v>
      </c>
      <c r="C85" s="270"/>
      <c r="D85" s="270"/>
      <c r="E85" s="270"/>
      <c r="F85" s="270"/>
    </row>
    <row r="86" spans="3:5" ht="10.5" customHeight="1" hidden="1">
      <c r="C86" s="222"/>
      <c r="E86" s="222"/>
    </row>
    <row r="87" spans="2:5" ht="15" hidden="1">
      <c r="B87" s="219" t="s">
        <v>136</v>
      </c>
      <c r="C87" s="222">
        <v>21030.473</v>
      </c>
      <c r="E87" s="222">
        <v>21030.473</v>
      </c>
    </row>
    <row r="88" spans="3:5" ht="15" hidden="1">
      <c r="C88" s="223"/>
      <c r="E88" s="223"/>
    </row>
    <row r="89" spans="3:5" ht="15" hidden="1">
      <c r="C89" s="223"/>
      <c r="E89" s="223"/>
    </row>
    <row r="90" ht="15" hidden="1">
      <c r="B90" s="219"/>
    </row>
  </sheetData>
  <mergeCells count="6">
    <mergeCell ref="C5:D5"/>
    <mergeCell ref="C6:D6"/>
    <mergeCell ref="C85:D85"/>
    <mergeCell ref="E5:F5"/>
    <mergeCell ref="E6:F6"/>
    <mergeCell ref="E85:F85"/>
  </mergeCells>
  <printOptions/>
  <pageMargins left="1" right="0.25" top="0.25" bottom="0.25" header="0.5" footer="0.5"/>
  <pageSetup fitToHeight="1" fitToWidth="1" horizontalDpi="180" verticalDpi="180" orientation="portrait" paperSize="9" scale="69" r:id="rId1"/>
</worksheet>
</file>

<file path=xl/worksheets/sheet12.xml><?xml version="1.0" encoding="utf-8"?>
<worksheet xmlns="http://schemas.openxmlformats.org/spreadsheetml/2006/main" xmlns:r="http://schemas.openxmlformats.org/officeDocument/2006/relationships">
  <dimension ref="B1:H31"/>
  <sheetViews>
    <sheetView workbookViewId="0" topLeftCell="A10">
      <selection activeCell="B27" sqref="B27"/>
    </sheetView>
  </sheetViews>
  <sheetFormatPr defaultColWidth="9.140625" defaultRowHeight="12.75"/>
  <cols>
    <col min="1" max="1" width="9.57421875" style="53" customWidth="1"/>
    <col min="2" max="2" width="31.140625" style="53" customWidth="1"/>
    <col min="3" max="3" width="11.00390625" style="53" bestFit="1" customWidth="1"/>
    <col min="4" max="4" width="11.28125" style="53" bestFit="1" customWidth="1"/>
    <col min="5" max="5" width="11.28125" style="178" bestFit="1" customWidth="1"/>
    <col min="6" max="6" width="11.140625" style="53" bestFit="1" customWidth="1"/>
    <col min="7" max="7" width="9.00390625" style="53" bestFit="1" customWidth="1"/>
    <col min="8" max="8" width="11.140625" style="53" bestFit="1" customWidth="1"/>
    <col min="9" max="16384" width="31.140625" style="53" customWidth="1"/>
  </cols>
  <sheetData>
    <row r="1" ht="15">
      <c r="B1" s="178" t="s">
        <v>64</v>
      </c>
    </row>
    <row r="3" ht="15">
      <c r="B3" s="178"/>
    </row>
    <row r="4" ht="15">
      <c r="B4" s="178" t="s">
        <v>147</v>
      </c>
    </row>
    <row r="5" ht="15.75" thickBot="1">
      <c r="B5" s="178"/>
    </row>
    <row r="6" spans="2:8" ht="15.75" thickBot="1">
      <c r="B6" s="179"/>
      <c r="C6" s="271">
        <v>39873</v>
      </c>
      <c r="D6" s="294"/>
      <c r="E6" s="295"/>
      <c r="F6" s="296">
        <v>39508</v>
      </c>
      <c r="G6" s="297"/>
      <c r="H6" s="298"/>
    </row>
    <row r="7" spans="2:8" ht="15.75" thickBot="1">
      <c r="B7" s="182" t="s">
        <v>144</v>
      </c>
      <c r="C7" s="182" t="s">
        <v>141</v>
      </c>
      <c r="D7" s="183" t="s">
        <v>142</v>
      </c>
      <c r="E7" s="184" t="s">
        <v>143</v>
      </c>
      <c r="F7" s="182" t="s">
        <v>141</v>
      </c>
      <c r="G7" s="183" t="s">
        <v>142</v>
      </c>
      <c r="H7" s="184" t="s">
        <v>143</v>
      </c>
    </row>
    <row r="8" spans="2:8" ht="15.75" thickBot="1">
      <c r="B8" s="185"/>
      <c r="C8" s="182" t="s">
        <v>185</v>
      </c>
      <c r="D8" s="183" t="s">
        <v>186</v>
      </c>
      <c r="E8" s="184" t="s">
        <v>186</v>
      </c>
      <c r="F8" s="182" t="s">
        <v>185</v>
      </c>
      <c r="G8" s="183" t="s">
        <v>186</v>
      </c>
      <c r="H8" s="184" t="s">
        <v>186</v>
      </c>
    </row>
    <row r="9" spans="2:8" ht="15">
      <c r="B9" s="185"/>
      <c r="C9" s="185"/>
      <c r="D9" s="186"/>
      <c r="E9" s="187"/>
      <c r="F9" s="185"/>
      <c r="G9" s="186"/>
      <c r="H9" s="187"/>
    </row>
    <row r="10" spans="2:8" ht="15">
      <c r="B10" s="185" t="s">
        <v>114</v>
      </c>
      <c r="C10" s="188">
        <v>553.74</v>
      </c>
      <c r="D10" s="189">
        <v>102.63</v>
      </c>
      <c r="E10" s="190">
        <f>C10+D10</f>
        <v>656.37</v>
      </c>
      <c r="F10" s="188">
        <f>+'GMD 08-09 vs 07-08'!E36</f>
        <v>826.2</v>
      </c>
      <c r="G10" s="189">
        <f>+'FCKD 08-09 vs 07-089 '!E36</f>
        <v>100.89</v>
      </c>
      <c r="H10" s="190">
        <f>G10+F10</f>
        <v>927.09</v>
      </c>
    </row>
    <row r="11" spans="2:8" ht="15">
      <c r="B11" s="185"/>
      <c r="C11" s="188"/>
      <c r="D11" s="189"/>
      <c r="E11" s="190"/>
      <c r="F11" s="188"/>
      <c r="G11" s="189"/>
      <c r="H11" s="190"/>
    </row>
    <row r="12" spans="2:8" ht="15">
      <c r="B12" s="185" t="s">
        <v>115</v>
      </c>
      <c r="C12" s="188">
        <f>727.88-553.74</f>
        <v>174.14</v>
      </c>
      <c r="D12" s="189">
        <v>78.82</v>
      </c>
      <c r="E12" s="190">
        <f>C12+D12</f>
        <v>252.95999999999998</v>
      </c>
      <c r="F12" s="188">
        <f>+'GMD 08-09 vs 07-08'!E38</f>
        <v>339</v>
      </c>
      <c r="G12" s="189">
        <f>+'FCKD 08-09 vs 07-089 '!E38</f>
        <v>113.51</v>
      </c>
      <c r="H12" s="190">
        <f>G12+F12</f>
        <v>452.51</v>
      </c>
    </row>
    <row r="13" spans="2:8" ht="15">
      <c r="B13" s="185"/>
      <c r="C13" s="188"/>
      <c r="D13" s="189"/>
      <c r="E13" s="190"/>
      <c r="F13" s="188"/>
      <c r="G13" s="189"/>
      <c r="H13" s="190"/>
    </row>
    <row r="14" spans="2:8" ht="15">
      <c r="B14" s="185" t="s">
        <v>116</v>
      </c>
      <c r="C14" s="188">
        <v>71.69</v>
      </c>
      <c r="D14" s="189">
        <f>118.86-9.51</f>
        <v>109.35</v>
      </c>
      <c r="E14" s="190">
        <f>C14+D14</f>
        <v>181.04</v>
      </c>
      <c r="F14" s="188">
        <f>+'GMD 08-09 vs 07-08'!E40</f>
        <v>96.11</v>
      </c>
      <c r="G14" s="189">
        <f>+'FCKD 08-09 vs 07-089 '!E40</f>
        <v>139.76</v>
      </c>
      <c r="H14" s="190">
        <f>G14+F14</f>
        <v>235.87</v>
      </c>
    </row>
    <row r="15" spans="2:8" ht="15">
      <c r="B15" s="185"/>
      <c r="C15" s="188"/>
      <c r="D15" s="189"/>
      <c r="E15" s="190"/>
      <c r="F15" s="188"/>
      <c r="G15" s="189"/>
      <c r="H15" s="190"/>
    </row>
    <row r="16" spans="2:8" ht="15">
      <c r="B16" s="185" t="s">
        <v>118</v>
      </c>
      <c r="C16" s="188">
        <v>583.55</v>
      </c>
      <c r="D16" s="189">
        <v>22.81</v>
      </c>
      <c r="E16" s="190">
        <f>C16+D16</f>
        <v>606.3599999999999</v>
      </c>
      <c r="F16" s="188">
        <f>+'GMD 08-09 vs 07-08'!E44</f>
        <v>802.42</v>
      </c>
      <c r="G16" s="189">
        <f>+'FCKD 08-09 vs 07-089 '!E44</f>
        <v>26.08</v>
      </c>
      <c r="H16" s="190">
        <f>G16+F16</f>
        <v>828.5</v>
      </c>
    </row>
    <row r="17" spans="2:8" ht="15">
      <c r="B17" s="185"/>
      <c r="C17" s="188"/>
      <c r="D17" s="189"/>
      <c r="E17" s="190"/>
      <c r="F17" s="188"/>
      <c r="G17" s="189"/>
      <c r="H17" s="190"/>
    </row>
    <row r="18" spans="2:8" ht="15">
      <c r="B18" s="185" t="s">
        <v>119</v>
      </c>
      <c r="C18" s="188">
        <v>1027.15</v>
      </c>
      <c r="D18" s="189">
        <v>264.15</v>
      </c>
      <c r="E18" s="190">
        <f>C18+D18</f>
        <v>1291.3000000000002</v>
      </c>
      <c r="F18" s="188">
        <f>+'GMD 08-09 vs 07-08'!E46</f>
        <v>1345.67</v>
      </c>
      <c r="G18" s="189">
        <f>+'FCKD 08-09 vs 07-089 '!E46</f>
        <v>187.25</v>
      </c>
      <c r="H18" s="190">
        <f>G18+F18</f>
        <v>1532.92</v>
      </c>
    </row>
    <row r="19" spans="2:8" ht="15">
      <c r="B19" s="185"/>
      <c r="C19" s="188"/>
      <c r="D19" s="189"/>
      <c r="E19" s="190"/>
      <c r="F19" s="188"/>
      <c r="G19" s="189"/>
      <c r="H19" s="190"/>
    </row>
    <row r="20" spans="2:8" ht="15">
      <c r="B20" s="185" t="s">
        <v>125</v>
      </c>
      <c r="C20" s="188">
        <f>1204.67+19.83</f>
        <v>1224.5</v>
      </c>
      <c r="D20" s="189">
        <v>311.64</v>
      </c>
      <c r="E20" s="190">
        <f>C20+D20</f>
        <v>1536.1399999999999</v>
      </c>
      <c r="F20" s="188">
        <f>+'GMD 08-09 vs 07-08'!E56+'GMD 08-09 vs 07-08'!E58-0.77</f>
        <v>818.8699999999999</v>
      </c>
      <c r="G20" s="189">
        <f>+'FCKD 08-09 vs 07-089 '!E56+'FCKD 08-09 vs 07-089 '!E58</f>
        <v>122.58000000000001</v>
      </c>
      <c r="H20" s="190">
        <f>G20+F20</f>
        <v>941.4499999999999</v>
      </c>
    </row>
    <row r="21" spans="2:8" ht="15">
      <c r="B21" s="185"/>
      <c r="C21" s="188"/>
      <c r="D21" s="189"/>
      <c r="E21" s="190"/>
      <c r="F21" s="188"/>
      <c r="G21" s="189"/>
      <c r="H21" s="190"/>
    </row>
    <row r="22" spans="2:8" ht="15">
      <c r="B22" s="185" t="s">
        <v>39</v>
      </c>
      <c r="C22" s="191">
        <f aca="true" t="shared" si="0" ref="C22:H22">SUM(C10:C20)</f>
        <v>3634.77</v>
      </c>
      <c r="D22" s="192">
        <f t="shared" si="0"/>
        <v>889.4</v>
      </c>
      <c r="E22" s="190">
        <f t="shared" si="0"/>
        <v>4524.17</v>
      </c>
      <c r="F22" s="191">
        <f t="shared" si="0"/>
        <v>4228.27</v>
      </c>
      <c r="G22" s="192">
        <f t="shared" si="0"/>
        <v>690.07</v>
      </c>
      <c r="H22" s="190">
        <f t="shared" si="0"/>
        <v>4918.34</v>
      </c>
    </row>
    <row r="23" spans="2:8" ht="15">
      <c r="B23" s="185"/>
      <c r="C23" s="188"/>
      <c r="D23" s="189"/>
      <c r="E23" s="190"/>
      <c r="F23" s="188"/>
      <c r="G23" s="189"/>
      <c r="H23" s="193"/>
    </row>
    <row r="24" spans="2:8" ht="15.75" thickBot="1">
      <c r="B24" s="194"/>
      <c r="C24" s="195"/>
      <c r="D24" s="196"/>
      <c r="E24" s="197"/>
      <c r="F24" s="195"/>
      <c r="G24" s="196"/>
      <c r="H24" s="198"/>
    </row>
    <row r="27" ht="15">
      <c r="B27" s="53" t="s">
        <v>249</v>
      </c>
    </row>
    <row r="28" ht="15">
      <c r="B28" s="53" t="s">
        <v>230</v>
      </c>
    </row>
    <row r="29" spans="2:5" ht="15">
      <c r="B29" s="53" t="s">
        <v>231</v>
      </c>
      <c r="E29" s="199"/>
    </row>
    <row r="31" ht="15">
      <c r="C31" s="200"/>
    </row>
  </sheetData>
  <mergeCells count="2">
    <mergeCell ref="C6:E6"/>
    <mergeCell ref="F6:H6"/>
  </mergeCells>
  <printOptions/>
  <pageMargins left="0.5" right="0.2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B1:H34"/>
  <sheetViews>
    <sheetView zoomScalePageLayoutView="0" workbookViewId="0" topLeftCell="A16">
      <selection activeCell="H8" sqref="H8"/>
    </sheetView>
  </sheetViews>
  <sheetFormatPr defaultColWidth="9.140625" defaultRowHeight="12.75"/>
  <cols>
    <col min="1" max="1" width="9.57421875" style="53" customWidth="1"/>
    <col min="2" max="2" width="31.140625" style="53" customWidth="1"/>
    <col min="3" max="3" width="11.00390625" style="53" bestFit="1" customWidth="1"/>
    <col min="4" max="4" width="11.28125" style="53" bestFit="1" customWidth="1"/>
    <col min="5" max="5" width="11.28125" style="178" bestFit="1" customWidth="1"/>
    <col min="6" max="6" width="11.140625" style="53" bestFit="1" customWidth="1"/>
    <col min="7" max="7" width="9.00390625" style="53" bestFit="1" customWidth="1"/>
    <col min="8" max="8" width="11.140625" style="53" bestFit="1" customWidth="1"/>
    <col min="9" max="16384" width="31.140625" style="53" customWidth="1"/>
  </cols>
  <sheetData>
    <row r="1" ht="15">
      <c r="B1" s="178"/>
    </row>
    <row r="2" ht="15">
      <c r="B2" s="178" t="s">
        <v>147</v>
      </c>
    </row>
    <row r="3" ht="15.75" thickBot="1">
      <c r="B3" s="178"/>
    </row>
    <row r="4" spans="2:8" ht="15.75" thickBot="1">
      <c r="B4" s="179"/>
      <c r="C4" s="271">
        <v>39873</v>
      </c>
      <c r="D4" s="294"/>
      <c r="E4" s="295"/>
      <c r="F4" s="296">
        <v>39508</v>
      </c>
      <c r="G4" s="297"/>
      <c r="H4" s="298"/>
    </row>
    <row r="5" spans="2:8" ht="15.75" thickBot="1">
      <c r="B5" s="182" t="s">
        <v>144</v>
      </c>
      <c r="C5" s="182" t="s">
        <v>141</v>
      </c>
      <c r="D5" s="183" t="s">
        <v>142</v>
      </c>
      <c r="E5" s="184" t="s">
        <v>143</v>
      </c>
      <c r="F5" s="182" t="s">
        <v>141</v>
      </c>
      <c r="G5" s="183" t="s">
        <v>142</v>
      </c>
      <c r="H5" s="184" t="s">
        <v>143</v>
      </c>
    </row>
    <row r="6" spans="2:8" ht="15.75" thickBot="1">
      <c r="B6" s="185"/>
      <c r="C6" s="182" t="s">
        <v>185</v>
      </c>
      <c r="D6" s="183" t="s">
        <v>186</v>
      </c>
      <c r="E6" s="184" t="s">
        <v>186</v>
      </c>
      <c r="F6" s="182" t="s">
        <v>185</v>
      </c>
      <c r="G6" s="183" t="s">
        <v>186</v>
      </c>
      <c r="H6" s="184" t="s">
        <v>186</v>
      </c>
    </row>
    <row r="7" spans="2:8" ht="15">
      <c r="B7" s="185"/>
      <c r="C7" s="185"/>
      <c r="D7" s="186"/>
      <c r="E7" s="187"/>
      <c r="F7" s="185"/>
      <c r="G7" s="186"/>
      <c r="H7" s="187"/>
    </row>
    <row r="8" spans="2:8" ht="15">
      <c r="B8" s="185" t="s">
        <v>113</v>
      </c>
      <c r="C8" s="188">
        <f>+'GMD 08-09 vs 07-08'!C30</f>
        <v>1306.33</v>
      </c>
      <c r="D8" s="189">
        <f>+'FCKD 08-09 vs 07-089 '!C30</f>
        <v>220.94</v>
      </c>
      <c r="E8" s="190">
        <f>C8+D8</f>
        <v>1527.27</v>
      </c>
      <c r="F8" s="188">
        <f>+'GMD 08-09 vs 07-08'!E30</f>
        <v>1346.55</v>
      </c>
      <c r="G8" s="189">
        <f>+'FCKD 08-09 vs 07-089 '!E30</f>
        <v>151.98</v>
      </c>
      <c r="H8" s="190">
        <f>G8+F8</f>
        <v>1498.53</v>
      </c>
    </row>
    <row r="9" spans="2:8" ht="15">
      <c r="B9" s="185"/>
      <c r="C9" s="188"/>
      <c r="D9" s="189"/>
      <c r="E9" s="190"/>
      <c r="F9" s="188"/>
      <c r="G9" s="189"/>
      <c r="H9" s="190"/>
    </row>
    <row r="10" spans="2:8" ht="15">
      <c r="B10" s="185" t="s">
        <v>114</v>
      </c>
      <c r="C10" s="188">
        <f>+'GMD 08-09 vs 07-08'!C36</f>
        <v>553.74</v>
      </c>
      <c r="D10" s="189">
        <f>+'FCKD 08-09 vs 07-089 '!C36</f>
        <v>102.2</v>
      </c>
      <c r="E10" s="190">
        <f>C10+D10</f>
        <v>655.94</v>
      </c>
      <c r="F10" s="188">
        <f>+'GMD 08-09 vs 07-08'!E36</f>
        <v>826.2</v>
      </c>
      <c r="G10" s="189">
        <f>+'FCKD 08-09 vs 07-089 '!E36</f>
        <v>100.89</v>
      </c>
      <c r="H10" s="190">
        <f>G10+F10</f>
        <v>927.09</v>
      </c>
    </row>
    <row r="11" spans="2:8" ht="15">
      <c r="B11" s="185"/>
      <c r="C11" s="188"/>
      <c r="D11" s="189"/>
      <c r="E11" s="190"/>
      <c r="F11" s="188"/>
      <c r="G11" s="189"/>
      <c r="H11" s="190"/>
    </row>
    <row r="12" spans="2:8" ht="15">
      <c r="B12" s="185" t="s">
        <v>115</v>
      </c>
      <c r="C12" s="188">
        <f>+'GMD 08-09 vs 07-08'!C38</f>
        <v>149.63</v>
      </c>
      <c r="D12" s="189">
        <f>+'FCKD 08-09 vs 07-089 '!C38</f>
        <v>77.87</v>
      </c>
      <c r="E12" s="190">
        <f>C12+D12</f>
        <v>227.5</v>
      </c>
      <c r="F12" s="188">
        <f>+'GMD 08-09 vs 07-08'!E38</f>
        <v>339</v>
      </c>
      <c r="G12" s="189">
        <f>+'FCKD 08-09 vs 07-089 '!E38</f>
        <v>113.51</v>
      </c>
      <c r="H12" s="190">
        <f aca="true" t="shared" si="0" ref="H12:H20">G12+F12</f>
        <v>452.51</v>
      </c>
    </row>
    <row r="13" spans="2:8" ht="15">
      <c r="B13" s="185"/>
      <c r="C13" s="188"/>
      <c r="D13" s="189"/>
      <c r="E13" s="190"/>
      <c r="F13" s="188"/>
      <c r="G13" s="189"/>
      <c r="H13" s="190"/>
    </row>
    <row r="14" spans="2:8" ht="15">
      <c r="B14" s="185" t="s">
        <v>116</v>
      </c>
      <c r="C14" s="188">
        <f>+'GMD 08-09 vs 07-08'!C40</f>
        <v>71.34</v>
      </c>
      <c r="D14" s="189">
        <f>+'FCKD 08-09 vs 07-089 '!C40</f>
        <v>112.94</v>
      </c>
      <c r="E14" s="190">
        <f>C14+D14</f>
        <v>184.28</v>
      </c>
      <c r="F14" s="188">
        <f>+'GMD 08-09 vs 07-08'!E40</f>
        <v>96.11</v>
      </c>
      <c r="G14" s="189">
        <f>+'FCKD 08-09 vs 07-089 '!E40</f>
        <v>139.76</v>
      </c>
      <c r="H14" s="190">
        <f t="shared" si="0"/>
        <v>235.87</v>
      </c>
    </row>
    <row r="15" spans="2:8" ht="15">
      <c r="B15" s="185"/>
      <c r="C15" s="188"/>
      <c r="D15" s="189"/>
      <c r="E15" s="190"/>
      <c r="F15" s="188"/>
      <c r="G15" s="189"/>
      <c r="H15" s="190"/>
    </row>
    <row r="16" spans="2:8" ht="15">
      <c r="B16" s="185" t="s">
        <v>118</v>
      </c>
      <c r="C16" s="188">
        <f>+'GMD 08-09 vs 07-08'!C44</f>
        <v>585.16</v>
      </c>
      <c r="D16" s="189">
        <f>+'FCKD 08-09 vs 07-089 '!C44</f>
        <v>22.56</v>
      </c>
      <c r="E16" s="190">
        <f>C16+D16</f>
        <v>607.7199999999999</v>
      </c>
      <c r="F16" s="188">
        <f>+'GMD 08-09 vs 07-08'!E44</f>
        <v>802.42</v>
      </c>
      <c r="G16" s="189">
        <f>+'FCKD 08-09 vs 07-089 '!E44</f>
        <v>26.08</v>
      </c>
      <c r="H16" s="190">
        <f t="shared" si="0"/>
        <v>828.5</v>
      </c>
    </row>
    <row r="17" spans="2:8" ht="15">
      <c r="B17" s="185"/>
      <c r="C17" s="188"/>
      <c r="D17" s="189"/>
      <c r="E17" s="190"/>
      <c r="F17" s="188"/>
      <c r="G17" s="189"/>
      <c r="H17" s="190"/>
    </row>
    <row r="18" spans="2:8" ht="15">
      <c r="B18" s="185" t="s">
        <v>119</v>
      </c>
      <c r="C18" s="188">
        <f>+'GMD 08-09 vs 07-08'!C46</f>
        <v>1070.51</v>
      </c>
      <c r="D18" s="189">
        <f>+'FCKD 08-09 vs 07-089 '!C46</f>
        <v>264.09</v>
      </c>
      <c r="E18" s="190">
        <f>C18+D18</f>
        <v>1334.6</v>
      </c>
      <c r="F18" s="188">
        <f>+'GMD 08-09 vs 07-08'!E46</f>
        <v>1345.67</v>
      </c>
      <c r="G18" s="189">
        <f>+'FCKD 08-09 vs 07-089 '!E46</f>
        <v>187.25</v>
      </c>
      <c r="H18" s="190">
        <f t="shared" si="0"/>
        <v>1532.92</v>
      </c>
    </row>
    <row r="19" spans="2:8" ht="15">
      <c r="B19" s="185"/>
      <c r="C19" s="188"/>
      <c r="D19" s="189"/>
      <c r="E19" s="190"/>
      <c r="F19" s="188"/>
      <c r="G19" s="189"/>
      <c r="H19" s="190"/>
    </row>
    <row r="20" spans="2:8" ht="15">
      <c r="B20" s="185" t="s">
        <v>125</v>
      </c>
      <c r="C20" s="188">
        <f>+'GMD 08-09 vs 07-08'!C56+'GMD 08-09 vs 07-08'!C58</f>
        <v>1115.92</v>
      </c>
      <c r="D20" s="189">
        <f>+'FCKD 08-09 vs 07-089 '!C56+'FCKD 08-09 vs 07-089 '!C58</f>
        <v>300.23999999999995</v>
      </c>
      <c r="E20" s="190">
        <f>C20+D20</f>
        <v>1416.16</v>
      </c>
      <c r="F20" s="188">
        <f>+'GMD 08-09 vs 07-08'!E56+'GMD 08-09 vs 07-08'!E58-0.77</f>
        <v>818.8699999999999</v>
      </c>
      <c r="G20" s="189">
        <f>+'FCKD 08-09 vs 07-089 '!E56+'FCKD 08-09 vs 07-089 '!E58</f>
        <v>122.58000000000001</v>
      </c>
      <c r="H20" s="190">
        <f t="shared" si="0"/>
        <v>941.4499999999999</v>
      </c>
    </row>
    <row r="21" spans="2:8" ht="15">
      <c r="B21" s="185"/>
      <c r="C21" s="188"/>
      <c r="D21" s="189"/>
      <c r="E21" s="190"/>
      <c r="F21" s="188"/>
      <c r="G21" s="189"/>
      <c r="H21" s="190"/>
    </row>
    <row r="22" spans="2:8" ht="15">
      <c r="B22" s="185" t="s">
        <v>39</v>
      </c>
      <c r="C22" s="191">
        <f aca="true" t="shared" si="1" ref="C22:H22">SUM(C8:C20)</f>
        <v>4852.63</v>
      </c>
      <c r="D22" s="192">
        <f t="shared" si="1"/>
        <v>1100.84</v>
      </c>
      <c r="E22" s="190">
        <f t="shared" si="1"/>
        <v>5953.469999999999</v>
      </c>
      <c r="F22" s="191">
        <f t="shared" si="1"/>
        <v>5574.820000000001</v>
      </c>
      <c r="G22" s="192">
        <f t="shared" si="1"/>
        <v>842.0500000000001</v>
      </c>
      <c r="H22" s="190">
        <f t="shared" si="1"/>
        <v>6416.87</v>
      </c>
    </row>
    <row r="23" spans="2:8" ht="15">
      <c r="B23" s="185"/>
      <c r="C23" s="188"/>
      <c r="D23" s="189"/>
      <c r="E23" s="190"/>
      <c r="F23" s="188"/>
      <c r="G23" s="189"/>
      <c r="H23" s="193"/>
    </row>
    <row r="24" spans="2:8" ht="15">
      <c r="B24" s="185"/>
      <c r="C24" s="188"/>
      <c r="D24" s="189" t="s">
        <v>145</v>
      </c>
      <c r="E24" s="190">
        <v>11.71</v>
      </c>
      <c r="F24" s="188"/>
      <c r="G24" s="189"/>
      <c r="H24" s="193">
        <v>0</v>
      </c>
    </row>
    <row r="25" spans="2:8" ht="15">
      <c r="B25" s="185"/>
      <c r="C25" s="188"/>
      <c r="D25" s="189"/>
      <c r="E25" s="190"/>
      <c r="F25" s="188"/>
      <c r="G25" s="189"/>
      <c r="H25" s="193"/>
    </row>
    <row r="26" spans="2:8" ht="15">
      <c r="B26" s="185"/>
      <c r="C26" s="188"/>
      <c r="D26" s="192" t="s">
        <v>143</v>
      </c>
      <c r="E26" s="190">
        <f>E22-E24</f>
        <v>5941.759999999999</v>
      </c>
      <c r="F26" s="188"/>
      <c r="G26" s="192" t="s">
        <v>143</v>
      </c>
      <c r="H26" s="190">
        <f>H22-H24</f>
        <v>6416.87</v>
      </c>
    </row>
    <row r="27" spans="2:8" ht="15.75" thickBot="1">
      <c r="B27" s="194"/>
      <c r="C27" s="195"/>
      <c r="D27" s="196"/>
      <c r="E27" s="197"/>
      <c r="F27" s="195"/>
      <c r="G27" s="196"/>
      <c r="H27" s="198"/>
    </row>
    <row r="30" ht="15">
      <c r="B30" s="53" t="s">
        <v>229</v>
      </c>
    </row>
    <row r="31" ht="15">
      <c r="B31" s="53" t="s">
        <v>230</v>
      </c>
    </row>
    <row r="32" spans="2:5" ht="15">
      <c r="B32" s="53" t="s">
        <v>231</v>
      </c>
      <c r="E32" s="199"/>
    </row>
    <row r="34" ht="15">
      <c r="C34" s="200"/>
    </row>
  </sheetData>
  <sheetProtection/>
  <mergeCells count="2">
    <mergeCell ref="C4:E4"/>
    <mergeCell ref="F4:H4"/>
  </mergeCells>
  <printOptions/>
  <pageMargins left="0.5" right="0.2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F64"/>
  <sheetViews>
    <sheetView workbookViewId="0" topLeftCell="A1">
      <selection activeCell="A2" sqref="A2:C45"/>
    </sheetView>
  </sheetViews>
  <sheetFormatPr defaultColWidth="9.140625" defaultRowHeight="12.75"/>
  <cols>
    <col min="2" max="2" width="45.140625" style="0" customWidth="1"/>
    <col min="3" max="3" width="17.421875" style="0" customWidth="1"/>
  </cols>
  <sheetData>
    <row r="1" ht="12.75">
      <c r="C1" s="180"/>
    </row>
    <row r="2" ht="12.75">
      <c r="A2" s="134" t="s">
        <v>187</v>
      </c>
    </row>
    <row r="3" spans="4:6" ht="12.75">
      <c r="D3">
        <v>2008</v>
      </c>
      <c r="F3">
        <v>2007</v>
      </c>
    </row>
    <row r="4" ht="12.75">
      <c r="A4" s="134" t="s">
        <v>188</v>
      </c>
    </row>
    <row r="5" spans="1:4" ht="12.75">
      <c r="A5" s="134"/>
      <c r="D5" t="s">
        <v>208</v>
      </c>
    </row>
    <row r="6" spans="1:3" ht="12.75">
      <c r="A6" s="181"/>
      <c r="B6" s="181"/>
      <c r="C6" s="201"/>
    </row>
    <row r="7" spans="1:3" ht="12.75">
      <c r="A7" s="202" t="s">
        <v>189</v>
      </c>
      <c r="B7" s="202" t="s">
        <v>67</v>
      </c>
      <c r="C7" s="203" t="s">
        <v>190</v>
      </c>
    </row>
    <row r="8" spans="1:3" ht="12.75">
      <c r="A8" s="204"/>
      <c r="B8" s="204"/>
      <c r="C8" s="205" t="s">
        <v>191</v>
      </c>
    </row>
    <row r="9" spans="1:3" ht="12.75">
      <c r="A9" s="181"/>
      <c r="B9" s="181"/>
      <c r="C9" s="201"/>
    </row>
    <row r="10" spans="1:4" ht="12.75">
      <c r="A10" s="206" t="s">
        <v>192</v>
      </c>
      <c r="B10" s="207" t="str">
        <f>+'[6]tt (3)'!A103</f>
        <v>FINANCE CHARGES</v>
      </c>
      <c r="C10" s="212">
        <f>7628238.37/100000</f>
        <v>76.2823837</v>
      </c>
      <c r="D10">
        <v>27.32</v>
      </c>
    </row>
    <row r="11" spans="1:3" ht="12.75">
      <c r="A11" s="207"/>
      <c r="B11" s="207"/>
      <c r="C11" s="212"/>
    </row>
    <row r="12" spans="1:3" ht="12.75">
      <c r="A12" s="206" t="s">
        <v>193</v>
      </c>
      <c r="B12" s="207" t="str">
        <f>+'[6]tt (3)'!A172</f>
        <v>ADMINISTRATIVE  EXPENSES</v>
      </c>
      <c r="C12" s="212">
        <f>(3317126.75+647654)/100000</f>
        <v>39.6478075</v>
      </c>
    </row>
    <row r="13" spans="1:3" ht="12.75">
      <c r="A13" s="207"/>
      <c r="B13" s="207"/>
      <c r="C13" s="212"/>
    </row>
    <row r="14" spans="1:4" ht="12.75">
      <c r="A14" s="206" t="s">
        <v>194</v>
      </c>
      <c r="B14" s="207" t="str">
        <f>+'[6]tt (3)'!A118</f>
        <v>INSURANCE CHARGES</v>
      </c>
      <c r="C14" s="212">
        <f>3306827/100000</f>
        <v>33.06827</v>
      </c>
      <c r="D14">
        <v>8.94</v>
      </c>
    </row>
    <row r="15" spans="1:3" ht="12.75">
      <c r="A15" s="207"/>
      <c r="B15" s="207"/>
      <c r="C15" s="212"/>
    </row>
    <row r="16" spans="1:4" ht="12.75">
      <c r="A16" s="206" t="s">
        <v>195</v>
      </c>
      <c r="B16" s="207" t="str">
        <f>+'[6]tt (3)'!A131</f>
        <v>TRAVELLING EXPENSES</v>
      </c>
      <c r="C16" s="212">
        <f>8210550.83/100000</f>
        <v>82.1055083</v>
      </c>
      <c r="D16">
        <v>9.8</v>
      </c>
    </row>
    <row r="17" spans="1:3" ht="12.75">
      <c r="A17" s="207"/>
      <c r="B17" s="207"/>
      <c r="C17" s="212"/>
    </row>
    <row r="18" spans="1:3" ht="12.75">
      <c r="A18" s="206" t="s">
        <v>196</v>
      </c>
      <c r="B18" s="207" t="str">
        <f>+'[6]tt (3)'!A23</f>
        <v>RENT \ RATE &amp; TAXES</v>
      </c>
      <c r="C18" s="212">
        <f>11420103/100000</f>
        <v>114.20103</v>
      </c>
    </row>
    <row r="19" spans="1:3" ht="12.75">
      <c r="A19" s="207"/>
      <c r="B19" s="207"/>
      <c r="C19" s="212"/>
    </row>
    <row r="20" spans="1:3" ht="12.75" hidden="1">
      <c r="A20" s="206"/>
      <c r="B20" s="207" t="str">
        <f>+'[6]tt (3)'!A63</f>
        <v>DOUBTFUL DEBTS</v>
      </c>
      <c r="C20" s="212"/>
    </row>
    <row r="21" spans="1:3" ht="12.75" hidden="1">
      <c r="A21" s="207"/>
      <c r="B21" s="207"/>
      <c r="C21" s="212"/>
    </row>
    <row r="22" spans="1:3" ht="12.75">
      <c r="A22" s="206" t="s">
        <v>197</v>
      </c>
      <c r="B22" s="207" t="str">
        <f>+'[6]tt (3)'!A56</f>
        <v>LEGAL &amp; PROFESSIONAL FEES \ AUDIT FEES</v>
      </c>
      <c r="C22" s="212">
        <f>5253453/100000</f>
        <v>52.53453</v>
      </c>
    </row>
    <row r="23" spans="1:3" ht="12.75">
      <c r="A23" s="207"/>
      <c r="B23" s="207"/>
      <c r="C23" s="212"/>
    </row>
    <row r="24" spans="1:3" ht="12.75" hidden="1">
      <c r="A24" s="206" t="s">
        <v>198</v>
      </c>
      <c r="B24" s="207" t="str">
        <f>+'[6]tt (3)'!A89</f>
        <v>VRS PAYMENT \ PRIOR PERIOD EXPENSES</v>
      </c>
      <c r="C24" s="212"/>
    </row>
    <row r="25" spans="1:3" ht="12.75" hidden="1">
      <c r="A25" s="207"/>
      <c r="B25" s="207"/>
      <c r="C25" s="212"/>
    </row>
    <row r="26" spans="1:3" ht="12.75">
      <c r="A26" s="206" t="s">
        <v>198</v>
      </c>
      <c r="B26" s="207" t="s">
        <v>199</v>
      </c>
      <c r="C26" s="213">
        <f>1405089/100000</f>
        <v>14.05089</v>
      </c>
    </row>
    <row r="27" spans="1:3" ht="12.75">
      <c r="A27" s="207"/>
      <c r="B27" s="207"/>
      <c r="C27" s="212"/>
    </row>
    <row r="28" spans="1:3" ht="12.75">
      <c r="A28" s="206" t="s">
        <v>200</v>
      </c>
      <c r="B28" s="207" t="str">
        <f>+'[6]tt (3)'!A40</f>
        <v>TELEGRAM \TELEPHONE\FAX\INERNET</v>
      </c>
      <c r="C28" s="212">
        <f>2192839.24/100000</f>
        <v>21.928392400000003</v>
      </c>
    </row>
    <row r="29" spans="1:3" ht="12.75">
      <c r="A29" s="207"/>
      <c r="B29" s="207"/>
      <c r="C29" s="212"/>
    </row>
    <row r="30" spans="1:3" ht="12.75">
      <c r="A30" s="206" t="s">
        <v>201</v>
      </c>
      <c r="B30" s="207" t="str">
        <f>+'[6]tt (3)'!A69</f>
        <v>STATIONERY &amp; PRINTING</v>
      </c>
      <c r="C30" s="212">
        <f>1657594.95/100000</f>
        <v>16.5759495</v>
      </c>
    </row>
    <row r="31" spans="1:3" ht="12.75">
      <c r="A31" s="207"/>
      <c r="B31" s="207"/>
      <c r="C31" s="212"/>
    </row>
    <row r="32" spans="1:3" ht="12.75">
      <c r="A32" s="206" t="s">
        <v>202</v>
      </c>
      <c r="B32" s="207" t="str">
        <f>+'[6]tt (3)'!A75</f>
        <v>MOTOR CAR EXPENSES</v>
      </c>
      <c r="C32" s="212">
        <f>2161653.2/100000</f>
        <v>21.616532000000003</v>
      </c>
    </row>
    <row r="33" spans="1:3" ht="12.75">
      <c r="A33" s="207"/>
      <c r="B33" s="207"/>
      <c r="C33" s="212"/>
    </row>
    <row r="34" spans="1:3" ht="12.75">
      <c r="A34" s="206" t="s">
        <v>203</v>
      </c>
      <c r="B34" s="207" t="str">
        <f>+'[6]tt (3)'!A82</f>
        <v>MOTOR CAR EXPENSES.STAFF</v>
      </c>
      <c r="C34" s="212">
        <f>2764088.02/100000</f>
        <v>27.6408802</v>
      </c>
    </row>
    <row r="35" spans="1:3" ht="12.75">
      <c r="A35" s="207"/>
      <c r="B35" s="207"/>
      <c r="C35" s="212"/>
    </row>
    <row r="36" spans="1:3" ht="12.75">
      <c r="A36" s="206" t="s">
        <v>204</v>
      </c>
      <c r="B36" s="207" t="str">
        <f>+'[6]tt (3)'!A30</f>
        <v>STAMP &amp; POSTAGE CHARGES</v>
      </c>
      <c r="C36" s="212">
        <f>1161271.41/100000</f>
        <v>11.6127141</v>
      </c>
    </row>
    <row r="37" spans="1:3" ht="12.75">
      <c r="A37" s="207"/>
      <c r="B37" s="207"/>
      <c r="C37" s="212"/>
    </row>
    <row r="38" spans="1:3" ht="12.75">
      <c r="A38" s="206" t="s">
        <v>205</v>
      </c>
      <c r="B38" s="207" t="s">
        <v>125</v>
      </c>
      <c r="C38" s="212">
        <f>(6733496.84999998+1394000-647654+254000+2400000)/100000</f>
        <v>101.3384284999998</v>
      </c>
    </row>
    <row r="39" spans="1:3" ht="12.75">
      <c r="A39" s="206"/>
      <c r="B39" s="207"/>
      <c r="C39" s="212"/>
    </row>
    <row r="40" spans="1:3" ht="12.75" hidden="1">
      <c r="A40" s="206" t="s">
        <v>205</v>
      </c>
      <c r="B40" s="207" t="str">
        <f>+'[6]tt (3)'!A209</f>
        <v>OTHER EXPENSES</v>
      </c>
      <c r="C40" s="212"/>
    </row>
    <row r="41" spans="1:3" ht="12.75">
      <c r="A41" s="216">
        <v>15</v>
      </c>
      <c r="B41" s="207" t="s">
        <v>207</v>
      </c>
      <c r="C41" s="212">
        <v>279.02</v>
      </c>
    </row>
    <row r="42" spans="1:6" ht="12.75">
      <c r="A42" s="206"/>
      <c r="B42" s="207"/>
      <c r="C42" s="212"/>
      <c r="F42" s="208"/>
    </row>
    <row r="43" spans="1:3" ht="12.75">
      <c r="A43" s="181"/>
      <c r="B43" s="181"/>
      <c r="C43" s="214"/>
    </row>
    <row r="44" spans="1:6" ht="12.75">
      <c r="A44" s="207"/>
      <c r="B44" s="202" t="s">
        <v>206</v>
      </c>
      <c r="C44" s="215">
        <f>SUM(C10:C43)</f>
        <v>891.6233161999999</v>
      </c>
      <c r="F44" s="208"/>
    </row>
    <row r="45" spans="1:3" ht="12.75">
      <c r="A45" s="209"/>
      <c r="B45" s="209"/>
      <c r="C45" s="210"/>
    </row>
    <row r="46" ht="12.75">
      <c r="C46" s="211"/>
    </row>
    <row r="48" ht="12.75">
      <c r="C48" s="211"/>
    </row>
    <row r="49" ht="12.75">
      <c r="C49" s="211"/>
    </row>
    <row r="52" ht="12.75">
      <c r="C52" s="211"/>
    </row>
    <row r="54" ht="12.75">
      <c r="C54" s="211"/>
    </row>
    <row r="56" ht="12.75">
      <c r="C56" s="211"/>
    </row>
    <row r="58" ht="12.75">
      <c r="C58" s="211"/>
    </row>
    <row r="60" ht="12.75">
      <c r="C60" s="211"/>
    </row>
    <row r="62" ht="12.75">
      <c r="C62" s="211"/>
    </row>
    <row r="64" ht="12.75">
      <c r="C64" s="211"/>
    </row>
  </sheetData>
  <printOptions/>
  <pageMargins left="0.75" right="0.75" top="1" bottom="1" header="0.5" footer="0.5"/>
  <pageSetup horizontalDpi="180" verticalDpi="180" orientation="portrait" paperSize="40" r:id="rId1"/>
</worksheet>
</file>

<file path=xl/worksheets/sheet15.xml><?xml version="1.0" encoding="utf-8"?>
<worksheet xmlns="http://schemas.openxmlformats.org/spreadsheetml/2006/main" xmlns:r="http://schemas.openxmlformats.org/officeDocument/2006/relationships">
  <dimension ref="B1:N92"/>
  <sheetViews>
    <sheetView zoomScalePageLayoutView="0" workbookViewId="0" topLeftCell="A1">
      <selection activeCell="L4" sqref="L4"/>
    </sheetView>
  </sheetViews>
  <sheetFormatPr defaultColWidth="10.28125" defaultRowHeight="12.75"/>
  <cols>
    <col min="1" max="1" width="9.140625" style="84" customWidth="1"/>
    <col min="2" max="2" width="36.421875" style="84" customWidth="1"/>
    <col min="3" max="3" width="15.8515625" style="84" hidden="1" customWidth="1"/>
    <col min="4" max="4" width="10.421875" style="84" hidden="1" customWidth="1"/>
    <col min="5" max="5" width="13.57421875" style="84" customWidth="1"/>
    <col min="6" max="6" width="11.140625" style="84" customWidth="1"/>
    <col min="7" max="7" width="13.00390625" style="84" customWidth="1"/>
    <col min="8" max="8" width="11.57421875" style="84" customWidth="1"/>
    <col min="9" max="9" width="13.28125" style="84" customWidth="1"/>
    <col min="10" max="16384" width="10.28125" style="84" customWidth="1"/>
  </cols>
  <sheetData>
    <row r="1" spans="2:6" ht="12.75">
      <c r="B1" s="85" t="s">
        <v>64</v>
      </c>
      <c r="C1" s="86"/>
      <c r="D1" s="86"/>
      <c r="E1" s="86"/>
      <c r="F1" s="86"/>
    </row>
    <row r="2" spans="2:6" ht="12.75">
      <c r="B2" s="85" t="s">
        <v>93</v>
      </c>
      <c r="C2" s="86"/>
      <c r="D2" s="86"/>
      <c r="E2" s="86"/>
      <c r="F2" s="86"/>
    </row>
    <row r="3" spans="2:6" ht="12.75">
      <c r="B3" s="85" t="s">
        <v>94</v>
      </c>
      <c r="D3" s="86"/>
      <c r="E3" s="86"/>
      <c r="F3" s="86"/>
    </row>
    <row r="4" spans="2:10" ht="12.75">
      <c r="B4" s="87"/>
      <c r="C4" s="87"/>
      <c r="D4" s="87"/>
      <c r="E4" s="299" t="s">
        <v>68</v>
      </c>
      <c r="F4" s="300"/>
      <c r="G4" s="301" t="s">
        <v>69</v>
      </c>
      <c r="H4" s="302"/>
      <c r="I4" s="301" t="s">
        <v>70</v>
      </c>
      <c r="J4" s="302"/>
    </row>
    <row r="5" spans="2:10" ht="12.75">
      <c r="B5" s="88"/>
      <c r="C5" s="281" t="s">
        <v>95</v>
      </c>
      <c r="D5" s="282"/>
      <c r="E5" s="283" t="s">
        <v>96</v>
      </c>
      <c r="F5" s="284"/>
      <c r="G5" s="283" t="s">
        <v>96</v>
      </c>
      <c r="H5" s="284"/>
      <c r="I5" s="283" t="s">
        <v>96</v>
      </c>
      <c r="J5" s="284"/>
    </row>
    <row r="6" spans="2:10" ht="12.75">
      <c r="B6" s="89"/>
      <c r="C6" s="90" t="s">
        <v>97</v>
      </c>
      <c r="D6" s="91"/>
      <c r="E6" s="92" t="s">
        <v>98</v>
      </c>
      <c r="F6" s="93"/>
      <c r="G6" s="92" t="s">
        <v>98</v>
      </c>
      <c r="H6" s="93"/>
      <c r="I6" s="92" t="s">
        <v>98</v>
      </c>
      <c r="J6" s="93"/>
    </row>
    <row r="7" spans="2:10" ht="12.75">
      <c r="B7" s="90" t="s">
        <v>12</v>
      </c>
      <c r="C7" s="94" t="s">
        <v>99</v>
      </c>
      <c r="D7" s="95" t="s">
        <v>100</v>
      </c>
      <c r="E7" s="94" t="s">
        <v>99</v>
      </c>
      <c r="F7" s="96" t="s">
        <v>100</v>
      </c>
      <c r="G7" s="94" t="s">
        <v>99</v>
      </c>
      <c r="H7" s="96" t="s">
        <v>100</v>
      </c>
      <c r="I7" s="97" t="s">
        <v>99</v>
      </c>
      <c r="J7" s="96" t="s">
        <v>100</v>
      </c>
    </row>
    <row r="8" spans="2:10" ht="12.75">
      <c r="B8" s="98"/>
      <c r="C8" s="99" t="s">
        <v>101</v>
      </c>
      <c r="D8" s="100"/>
      <c r="E8" s="99" t="s">
        <v>101</v>
      </c>
      <c r="F8" s="101"/>
      <c r="G8" s="99" t="s">
        <v>101</v>
      </c>
      <c r="H8" s="101"/>
      <c r="I8" s="102" t="s">
        <v>101</v>
      </c>
      <c r="J8" s="101"/>
    </row>
    <row r="9" spans="2:10" ht="12.75">
      <c r="B9" s="89"/>
      <c r="C9" s="89"/>
      <c r="D9" s="103"/>
      <c r="E9" s="88"/>
      <c r="F9" s="104"/>
      <c r="G9" s="89"/>
      <c r="H9" s="105"/>
      <c r="I9" s="105"/>
      <c r="J9" s="105"/>
    </row>
    <row r="10" spans="2:12" ht="12.75">
      <c r="B10" s="90" t="s">
        <v>102</v>
      </c>
      <c r="C10" s="106">
        <v>19512.38</v>
      </c>
      <c r="D10" s="107">
        <f>C10/$C$22*100</f>
        <v>98.98540916926318</v>
      </c>
      <c r="E10" s="106">
        <v>12367.58</v>
      </c>
      <c r="F10" s="108">
        <f>E10/$E$22*100</f>
        <v>97.12334565478422</v>
      </c>
      <c r="G10" s="108">
        <v>1458.31</v>
      </c>
      <c r="H10" s="108">
        <f>+G10/$G$22*100</f>
        <v>88.06007101277746</v>
      </c>
      <c r="I10" s="108">
        <f>+E10+G10</f>
        <v>13825.89</v>
      </c>
      <c r="J10" s="108">
        <f>+I10/$I$22*100</f>
        <v>96.08031449770776</v>
      </c>
      <c r="L10" s="133" t="s">
        <v>137</v>
      </c>
    </row>
    <row r="11" spans="2:10" ht="12.75">
      <c r="B11" s="90"/>
      <c r="C11" s="106"/>
      <c r="D11" s="107"/>
      <c r="E11" s="106"/>
      <c r="F11" s="108"/>
      <c r="G11" s="108"/>
      <c r="H11" s="108"/>
      <c r="I11" s="108"/>
      <c r="J11" s="108"/>
    </row>
    <row r="12" spans="2:14" ht="12.75">
      <c r="B12" s="90" t="s">
        <v>103</v>
      </c>
      <c r="C12" s="106">
        <v>0</v>
      </c>
      <c r="D12" s="107">
        <f>C12/$C$22*100</f>
        <v>0</v>
      </c>
      <c r="E12" s="106">
        <v>212.35</v>
      </c>
      <c r="F12" s="108">
        <f>E12/$E$22*100</f>
        <v>1.6675972542561621</v>
      </c>
      <c r="G12" s="108">
        <v>0</v>
      </c>
      <c r="H12" s="108">
        <f>+G12/$G$22*100</f>
        <v>0</v>
      </c>
      <c r="I12" s="108">
        <f>+E12+G12</f>
        <v>212.35</v>
      </c>
      <c r="J12" s="108">
        <f>+I12/$I$22*100</f>
        <v>1.4756847323093303</v>
      </c>
      <c r="L12" s="133" t="s">
        <v>138</v>
      </c>
      <c r="N12" s="84">
        <v>600.67</v>
      </c>
    </row>
    <row r="13" spans="2:14" ht="12.75">
      <c r="B13" s="90"/>
      <c r="C13" s="106"/>
      <c r="D13" s="107"/>
      <c r="E13" s="106"/>
      <c r="F13" s="108"/>
      <c r="G13" s="108"/>
      <c r="H13" s="108"/>
      <c r="I13" s="108"/>
      <c r="J13" s="108"/>
      <c r="L13" s="133" t="s">
        <v>139</v>
      </c>
      <c r="N13" s="84">
        <v>17.77</v>
      </c>
    </row>
    <row r="14" spans="2:14" ht="12.75">
      <c r="B14" s="90" t="s">
        <v>104</v>
      </c>
      <c r="C14" s="106">
        <v>0</v>
      </c>
      <c r="D14" s="107">
        <f>C14/$C$22*100</f>
        <v>0</v>
      </c>
      <c r="E14" s="106">
        <v>23.26</v>
      </c>
      <c r="F14" s="108">
        <f>E14/$E$22*100</f>
        <v>0.18266217157522174</v>
      </c>
      <c r="G14" s="108">
        <v>5.55</v>
      </c>
      <c r="H14" s="108">
        <f>+G14/$G$22*100</f>
        <v>0.33513683244366077</v>
      </c>
      <c r="I14" s="108">
        <f>+E14+G14</f>
        <v>28.810000000000002</v>
      </c>
      <c r="J14" s="108">
        <f>+I14/$I$22*100</f>
        <v>0.20020945202652135</v>
      </c>
      <c r="L14" s="133" t="s">
        <v>140</v>
      </c>
      <c r="N14" s="84">
        <v>4.23</v>
      </c>
    </row>
    <row r="15" spans="2:10" ht="12.75">
      <c r="B15" s="90"/>
      <c r="C15" s="106"/>
      <c r="D15" s="107"/>
      <c r="E15" s="106"/>
      <c r="F15" s="108"/>
      <c r="G15" s="108"/>
      <c r="H15" s="108"/>
      <c r="I15" s="108"/>
      <c r="J15" s="108"/>
    </row>
    <row r="16" spans="2:10" ht="12.75">
      <c r="B16" s="90" t="s">
        <v>105</v>
      </c>
      <c r="C16" s="106">
        <v>200</v>
      </c>
      <c r="D16" s="107">
        <f>C16/$C$22*100</f>
        <v>1.0145908307368263</v>
      </c>
      <c r="E16" s="106">
        <f>263.92-223.79</f>
        <v>40.130000000000024</v>
      </c>
      <c r="F16" s="108">
        <f>E16/$E$22*100</f>
        <v>0.31514329085613296</v>
      </c>
      <c r="G16" s="108">
        <f>57.65+7.13</f>
        <v>64.78</v>
      </c>
      <c r="H16" s="108">
        <f>+G16/$G$22*100</f>
        <v>3.9117412622883507</v>
      </c>
      <c r="I16" s="108">
        <f>+E16+G16</f>
        <v>104.91000000000003</v>
      </c>
      <c r="J16" s="108">
        <f>+I16/$I$22*100</f>
        <v>0.7290514964284054</v>
      </c>
    </row>
    <row r="17" spans="2:10" ht="12.75">
      <c r="B17" s="90"/>
      <c r="C17" s="106"/>
      <c r="D17" s="107"/>
      <c r="E17" s="106"/>
      <c r="F17" s="108"/>
      <c r="G17" s="108"/>
      <c r="H17" s="108"/>
      <c r="I17" s="108"/>
      <c r="J17" s="108"/>
    </row>
    <row r="18" spans="2:10" ht="12.75">
      <c r="B18" s="109" t="s">
        <v>106</v>
      </c>
      <c r="C18" s="106">
        <v>0</v>
      </c>
      <c r="D18" s="107">
        <f>C18/$C$22*100</f>
        <v>0</v>
      </c>
      <c r="E18" s="106">
        <v>30.4</v>
      </c>
      <c r="F18" s="108">
        <f>E18/$E$22*100</f>
        <v>0.23873301873975666</v>
      </c>
      <c r="G18" s="108">
        <v>0</v>
      </c>
      <c r="H18" s="108">
        <f>+G18/$G$22*100</f>
        <v>0</v>
      </c>
      <c r="I18" s="108">
        <f>+E18+G18</f>
        <v>30.4</v>
      </c>
      <c r="J18" s="108">
        <f>+I18/$I$22*100</f>
        <v>0.2112588455954963</v>
      </c>
    </row>
    <row r="19" spans="2:10" ht="12.75">
      <c r="B19" s="90"/>
      <c r="C19" s="106"/>
      <c r="D19" s="107"/>
      <c r="E19" s="106"/>
      <c r="F19" s="108"/>
      <c r="G19" s="108"/>
      <c r="H19" s="108"/>
      <c r="I19" s="108"/>
      <c r="J19" s="108"/>
    </row>
    <row r="20" spans="2:10" ht="12.75">
      <c r="B20" s="90" t="s">
        <v>107</v>
      </c>
      <c r="C20" s="106">
        <v>0</v>
      </c>
      <c r="D20" s="107">
        <f>C20/$C$22*100</f>
        <v>0</v>
      </c>
      <c r="E20" s="106">
        <f>60.17</f>
        <v>60.17</v>
      </c>
      <c r="F20" s="108">
        <f>E20/$E$22*100</f>
        <v>0.47251860978852495</v>
      </c>
      <c r="G20" s="108">
        <v>127.4</v>
      </c>
      <c r="H20" s="108">
        <f>+G20/$G$22*100</f>
        <v>7.69305089249052</v>
      </c>
      <c r="I20" s="108">
        <f>+E20+G20</f>
        <v>187.57</v>
      </c>
      <c r="J20" s="108">
        <f>+I20/$I$22*100</f>
        <v>1.3034809759324748</v>
      </c>
    </row>
    <row r="21" spans="2:10" ht="12.75">
      <c r="B21" s="89"/>
      <c r="C21" s="106"/>
      <c r="D21" s="107"/>
      <c r="E21" s="106"/>
      <c r="F21" s="108"/>
      <c r="G21" s="108"/>
      <c r="H21" s="108"/>
      <c r="I21" s="108"/>
      <c r="J21" s="108"/>
    </row>
    <row r="22" spans="2:10" ht="12.75">
      <c r="B22" s="92" t="s">
        <v>71</v>
      </c>
      <c r="C22" s="110">
        <f>SUM(C10:C20)</f>
        <v>19712.38</v>
      </c>
      <c r="D22" s="111">
        <f>C22/$C$22*100</f>
        <v>100</v>
      </c>
      <c r="E22" s="110">
        <f>SUM(E10:E20)</f>
        <v>12733.89</v>
      </c>
      <c r="F22" s="112">
        <f>E22/$E$22*100</f>
        <v>100</v>
      </c>
      <c r="G22" s="112">
        <f>SUM(G10:G20)</f>
        <v>1656.04</v>
      </c>
      <c r="H22" s="112">
        <f>SUM(H10:H20)</f>
        <v>99.99999999999999</v>
      </c>
      <c r="I22" s="112">
        <f>+E22+G22</f>
        <v>14389.93</v>
      </c>
      <c r="J22" s="112">
        <f>SUM(J10:J20)</f>
        <v>100</v>
      </c>
    </row>
    <row r="23" spans="2:10" ht="12.75">
      <c r="B23" s="89"/>
      <c r="C23" s="106"/>
      <c r="D23" s="107"/>
      <c r="E23" s="106"/>
      <c r="F23" s="108"/>
      <c r="G23" s="108"/>
      <c r="H23" s="108"/>
      <c r="I23" s="108"/>
      <c r="J23" s="108"/>
    </row>
    <row r="24" spans="2:10" ht="12.75">
      <c r="B24" s="90" t="s">
        <v>108</v>
      </c>
      <c r="C24" s="106"/>
      <c r="D24" s="107"/>
      <c r="E24" s="106"/>
      <c r="F24" s="108"/>
      <c r="G24" s="108"/>
      <c r="H24" s="108"/>
      <c r="I24" s="108"/>
      <c r="J24" s="108"/>
    </row>
    <row r="25" spans="2:10" ht="12.75">
      <c r="B25" s="90"/>
      <c r="C25" s="106"/>
      <c r="D25" s="107"/>
      <c r="E25" s="106"/>
      <c r="F25" s="108"/>
      <c r="G25" s="108"/>
      <c r="H25" s="108"/>
      <c r="I25" s="108"/>
      <c r="J25" s="108"/>
    </row>
    <row r="26" spans="2:10" ht="12.75">
      <c r="B26" s="90" t="s">
        <v>109</v>
      </c>
      <c r="C26" s="106">
        <f>10584.98</f>
        <v>10584.98</v>
      </c>
      <c r="D26" s="107">
        <f>C26/$C$22*100</f>
        <v>53.697118257663455</v>
      </c>
      <c r="E26" s="106">
        <f>6708.13+56.87</f>
        <v>6765</v>
      </c>
      <c r="F26" s="108">
        <f>E26/$E$22*100</f>
        <v>53.12594972942283</v>
      </c>
      <c r="G26" s="108">
        <v>627.32</v>
      </c>
      <c r="H26" s="108">
        <f>+G26/$G$22*100</f>
        <v>37.88072751865897</v>
      </c>
      <c r="I26" s="108">
        <f>+E26+G26</f>
        <v>7392.32</v>
      </c>
      <c r="J26" s="108">
        <f>+I26/$I$22*100</f>
        <v>51.37147991685852</v>
      </c>
    </row>
    <row r="27" spans="2:10" ht="12.75">
      <c r="B27" s="90"/>
      <c r="C27" s="106"/>
      <c r="D27" s="107"/>
      <c r="E27" s="106"/>
      <c r="F27" s="108"/>
      <c r="G27" s="108"/>
      <c r="H27" s="108"/>
      <c r="I27" s="108"/>
      <c r="J27" s="108"/>
    </row>
    <row r="28" spans="2:10" ht="12.75">
      <c r="B28" s="90" t="s">
        <v>110</v>
      </c>
      <c r="C28" s="106">
        <v>546.37</v>
      </c>
      <c r="D28" s="107">
        <f>C28/$C$22*100</f>
        <v>2.771709960948399</v>
      </c>
      <c r="E28" s="106">
        <v>0.37</v>
      </c>
      <c r="F28" s="108">
        <f>E28/$E$22*100</f>
        <v>0.0029056321359773015</v>
      </c>
      <c r="G28" s="108">
        <v>0</v>
      </c>
      <c r="H28" s="108">
        <f>+G28/$G$22*100</f>
        <v>0</v>
      </c>
      <c r="I28" s="108">
        <f>+E28+G28</f>
        <v>0.37</v>
      </c>
      <c r="J28" s="108">
        <f>+I28/$I$22*100</f>
        <v>0.0025712425286293955</v>
      </c>
    </row>
    <row r="29" spans="2:10" ht="12.75">
      <c r="B29" s="90"/>
      <c r="C29" s="106"/>
      <c r="D29" s="107"/>
      <c r="E29" s="106"/>
      <c r="F29" s="108"/>
      <c r="G29" s="108"/>
      <c r="H29" s="108"/>
      <c r="I29" s="108"/>
      <c r="J29" s="108"/>
    </row>
    <row r="30" spans="2:10" ht="12.75">
      <c r="B30" s="90" t="s">
        <v>111</v>
      </c>
      <c r="C30" s="106">
        <v>0</v>
      </c>
      <c r="D30" s="107">
        <f>C30/$C$22*100</f>
        <v>0</v>
      </c>
      <c r="E30" s="106">
        <v>204.91</v>
      </c>
      <c r="F30" s="108">
        <f>E30/$E$22*100</f>
        <v>1.6091704891435374</v>
      </c>
      <c r="G30" s="108">
        <v>0.84</v>
      </c>
      <c r="H30" s="108">
        <f>+G30/$G$22*100</f>
        <v>0.05072341247795947</v>
      </c>
      <c r="I30" s="108">
        <f>+E30+G30</f>
        <v>205.75</v>
      </c>
      <c r="J30" s="108">
        <f>+I30/$I$22*100</f>
        <v>1.429819325041887</v>
      </c>
    </row>
    <row r="31" spans="2:10" ht="12.75">
      <c r="B31" s="90"/>
      <c r="C31" s="106"/>
      <c r="D31" s="107"/>
      <c r="E31" s="106"/>
      <c r="F31" s="108"/>
      <c r="G31" s="108"/>
      <c r="H31" s="108"/>
      <c r="I31" s="108"/>
      <c r="J31" s="108"/>
    </row>
    <row r="32" spans="2:10" ht="12.75">
      <c r="B32" s="90" t="s">
        <v>112</v>
      </c>
      <c r="C32" s="106">
        <v>0</v>
      </c>
      <c r="D32" s="107">
        <f>C32/$C$22*100</f>
        <v>0</v>
      </c>
      <c r="E32" s="106">
        <v>137.26</v>
      </c>
      <c r="F32" s="108">
        <f>E32/$E$22*100</f>
        <v>1.0779109918493093</v>
      </c>
      <c r="G32" s="108">
        <v>-178.02</v>
      </c>
      <c r="H32" s="108">
        <f>+G32/$G$22*100</f>
        <v>-10.749740344436127</v>
      </c>
      <c r="I32" s="108">
        <f>+E32+G32</f>
        <v>-40.76000000000002</v>
      </c>
      <c r="J32" s="108">
        <f>+I32/$I$22*100</f>
        <v>-0.2832536363971195</v>
      </c>
    </row>
    <row r="33" spans="2:10" ht="12.75">
      <c r="B33" s="90"/>
      <c r="C33" s="106"/>
      <c r="D33" s="107"/>
      <c r="E33" s="106"/>
      <c r="F33" s="108"/>
      <c r="G33" s="108"/>
      <c r="H33" s="108"/>
      <c r="I33" s="108"/>
      <c r="J33" s="108"/>
    </row>
    <row r="34" spans="2:10" ht="12.75">
      <c r="B34" s="90" t="s">
        <v>113</v>
      </c>
      <c r="C34" s="106">
        <v>540.18</v>
      </c>
      <c r="D34" s="107">
        <f>C34/$C$22*100</f>
        <v>2.7403083747370935</v>
      </c>
      <c r="E34" s="106">
        <v>687.89</v>
      </c>
      <c r="F34" s="108">
        <f>E34/$E$22*100</f>
        <v>5.402041324371422</v>
      </c>
      <c r="G34" s="108">
        <v>96.15</v>
      </c>
      <c r="H34" s="108">
        <f>+G34/$G$22*100</f>
        <v>5.806019178280718</v>
      </c>
      <c r="I34" s="108">
        <f>+E34+G34</f>
        <v>784.04</v>
      </c>
      <c r="J34" s="108">
        <f>+I34/$I$22*100</f>
        <v>5.448532411207004</v>
      </c>
    </row>
    <row r="35" spans="2:10" ht="12.75">
      <c r="B35" s="90"/>
      <c r="C35" s="106"/>
      <c r="D35" s="107"/>
      <c r="E35" s="106"/>
      <c r="F35" s="108"/>
      <c r="G35" s="108"/>
      <c r="H35" s="108"/>
      <c r="I35" s="108"/>
      <c r="J35" s="108"/>
    </row>
    <row r="36" spans="2:10" ht="12.75">
      <c r="B36" s="90" t="s">
        <v>114</v>
      </c>
      <c r="C36" s="106">
        <v>437.4</v>
      </c>
      <c r="D36" s="107">
        <f>C36/$C$22*100</f>
        <v>2.218910146821439</v>
      </c>
      <c r="E36" s="106">
        <v>269.45</v>
      </c>
      <c r="F36" s="108">
        <f>E36/$E$22*100</f>
        <v>2.1160069703759024</v>
      </c>
      <c r="G36" s="108">
        <v>49.18</v>
      </c>
      <c r="H36" s="108">
        <f>+G36/$G$22*100</f>
        <v>2.9697350305548174</v>
      </c>
      <c r="I36" s="108">
        <f>+E36+G36</f>
        <v>318.63</v>
      </c>
      <c r="J36" s="108">
        <f>+I36/$I$22*100</f>
        <v>2.2142567753977955</v>
      </c>
    </row>
    <row r="37" spans="2:10" ht="12.75">
      <c r="B37" s="90"/>
      <c r="C37" s="106"/>
      <c r="D37" s="107"/>
      <c r="E37" s="106"/>
      <c r="F37" s="108"/>
      <c r="G37" s="108"/>
      <c r="H37" s="108"/>
      <c r="I37" s="108"/>
      <c r="J37" s="108"/>
    </row>
    <row r="38" spans="2:10" ht="12.75">
      <c r="B38" s="90" t="s">
        <v>115</v>
      </c>
      <c r="C38" s="106">
        <v>121.75</v>
      </c>
      <c r="D38" s="107">
        <f>C38/$C$22*100</f>
        <v>0.617632168211043</v>
      </c>
      <c r="E38" s="106">
        <v>78.22</v>
      </c>
      <c r="F38" s="108">
        <f>E38/$E$22*100</f>
        <v>0.6142663396652555</v>
      </c>
      <c r="G38" s="108">
        <f>127.69+44.53</f>
        <v>172.22</v>
      </c>
      <c r="H38" s="108">
        <f>+G38/$G$22*100</f>
        <v>10.399507258278785</v>
      </c>
      <c r="I38" s="108">
        <f>+E38+G38</f>
        <v>250.44</v>
      </c>
      <c r="J38" s="108">
        <f>+I38/$I$22*100</f>
        <v>1.7403837266755293</v>
      </c>
    </row>
    <row r="39" spans="2:10" ht="12.75">
      <c r="B39" s="90"/>
      <c r="C39" s="106"/>
      <c r="D39" s="107"/>
      <c r="E39" s="106"/>
      <c r="F39" s="108"/>
      <c r="G39" s="108"/>
      <c r="H39" s="108"/>
      <c r="I39" s="108"/>
      <c r="J39" s="108"/>
    </row>
    <row r="40" spans="2:10" ht="12.75">
      <c r="B40" s="90" t="s">
        <v>116</v>
      </c>
      <c r="C40" s="106">
        <v>21.4</v>
      </c>
      <c r="D40" s="107">
        <f>C40/$C$22*100</f>
        <v>0.10856121888884039</v>
      </c>
      <c r="E40" s="106">
        <v>33.16</v>
      </c>
      <c r="F40" s="108">
        <f>E40/$E$22*100</f>
        <v>0.2604074638621819</v>
      </c>
      <c r="G40" s="108">
        <v>52.49</v>
      </c>
      <c r="H40" s="108">
        <f>+G40/$G$22*100</f>
        <v>3.16960942972392</v>
      </c>
      <c r="I40" s="108">
        <f>+E40+G40</f>
        <v>85.65</v>
      </c>
      <c r="J40" s="108">
        <f>+I40/$I$22*100</f>
        <v>0.595207898857048</v>
      </c>
    </row>
    <row r="41" spans="2:10" ht="12.75">
      <c r="B41" s="90"/>
      <c r="C41" s="106"/>
      <c r="D41" s="107"/>
      <c r="E41" s="106"/>
      <c r="F41" s="108"/>
      <c r="G41" s="108"/>
      <c r="H41" s="108"/>
      <c r="I41" s="108"/>
      <c r="J41" s="108"/>
    </row>
    <row r="42" spans="2:10" ht="12.75">
      <c r="B42" s="90" t="s">
        <v>117</v>
      </c>
      <c r="C42" s="106">
        <v>1942.93</v>
      </c>
      <c r="D42" s="107">
        <f>C42/$C$22*100</f>
        <v>9.85639481381751</v>
      </c>
      <c r="E42" s="106">
        <v>1295.22</v>
      </c>
      <c r="F42" s="108">
        <f>E42/$E$22*100</f>
        <v>10.171440149082489</v>
      </c>
      <c r="G42" s="108">
        <v>124.68</v>
      </c>
      <c r="H42" s="108">
        <f>+G42/$G$22*100</f>
        <v>7.528803652085698</v>
      </c>
      <c r="I42" s="108">
        <f>+E42+G42</f>
        <v>1419.9</v>
      </c>
      <c r="J42" s="108">
        <f>+I42/$I$22*100</f>
        <v>9.867316936218593</v>
      </c>
    </row>
    <row r="43" spans="2:10" ht="12.75">
      <c r="B43" s="90"/>
      <c r="C43" s="106"/>
      <c r="D43" s="107"/>
      <c r="E43" s="106"/>
      <c r="F43" s="108"/>
      <c r="G43" s="108"/>
      <c r="H43" s="108"/>
      <c r="I43" s="108"/>
      <c r="J43" s="108"/>
    </row>
    <row r="44" spans="2:10" ht="12.75">
      <c r="B44" s="90" t="s">
        <v>118</v>
      </c>
      <c r="C44" s="106">
        <v>457.57</v>
      </c>
      <c r="D44" s="107">
        <f>C44/$C$22*100</f>
        <v>2.321231632101248</v>
      </c>
      <c r="E44" s="106">
        <v>332.7</v>
      </c>
      <c r="F44" s="108">
        <f>E44/$E$22*100</f>
        <v>2.6127130044314817</v>
      </c>
      <c r="G44" s="108">
        <v>13.91</v>
      </c>
      <c r="H44" s="108">
        <f>+G44/$G$22*100</f>
        <v>0.8399555566290671</v>
      </c>
      <c r="I44" s="108">
        <f>+E44+G44</f>
        <v>346.61</v>
      </c>
      <c r="J44" s="108">
        <f>+I44/$I$22*100</f>
        <v>2.4086983049952293</v>
      </c>
    </row>
    <row r="45" spans="2:10" ht="12.75">
      <c r="B45" s="90"/>
      <c r="C45" s="106"/>
      <c r="D45" s="107"/>
      <c r="E45" s="106"/>
      <c r="F45" s="108"/>
      <c r="G45" s="108"/>
      <c r="H45" s="108"/>
      <c r="I45" s="108"/>
      <c r="J45" s="108"/>
    </row>
    <row r="46" spans="2:10" ht="12.75">
      <c r="B46" s="90" t="s">
        <v>119</v>
      </c>
      <c r="C46" s="106">
        <f>536.3+289.64</f>
        <v>825.9399999999999</v>
      </c>
      <c r="D46" s="107">
        <f>C46/$C$22*100</f>
        <v>4.189955753693871</v>
      </c>
      <c r="E46" s="106">
        <v>626.93</v>
      </c>
      <c r="F46" s="108">
        <f>E46/$E$22*100</f>
        <v>4.9233187973195935</v>
      </c>
      <c r="G46" s="108">
        <v>132.23</v>
      </c>
      <c r="H46" s="108">
        <f>+G46/$G$22*100</f>
        <v>7.984710514238786</v>
      </c>
      <c r="I46" s="108">
        <f>+E46+G46</f>
        <v>759.16</v>
      </c>
      <c r="J46" s="108">
        <f>+I46/$I$22*100</f>
        <v>5.2756337244170055</v>
      </c>
    </row>
    <row r="47" spans="2:10" ht="12.75">
      <c r="B47" s="90"/>
      <c r="C47" s="106"/>
      <c r="D47" s="107"/>
      <c r="E47" s="106"/>
      <c r="F47" s="108"/>
      <c r="G47" s="108"/>
      <c r="H47" s="108"/>
      <c r="I47" s="108"/>
      <c r="J47" s="108"/>
    </row>
    <row r="48" spans="2:10" ht="12.75">
      <c r="B48" s="92" t="s">
        <v>120</v>
      </c>
      <c r="C48" s="110">
        <f>SUM(C26:C47)</f>
        <v>15478.52</v>
      </c>
      <c r="D48" s="111">
        <f>C48/$C$22*100</f>
        <v>78.52182232688291</v>
      </c>
      <c r="E48" s="110">
        <f>SUM(E26:E47)</f>
        <v>10431.11</v>
      </c>
      <c r="F48" s="112">
        <f>E48/$E$22*100</f>
        <v>81.91613089165998</v>
      </c>
      <c r="G48" s="112">
        <f>SUM(G26:G47)</f>
        <v>1091</v>
      </c>
      <c r="H48" s="112">
        <f>SUM(H26:H47)</f>
        <v>65.8800512064926</v>
      </c>
      <c r="I48" s="112">
        <f>+E48+G48</f>
        <v>11522.11</v>
      </c>
      <c r="J48" s="112">
        <f>+I48/$I$22*100</f>
        <v>80.07064662580012</v>
      </c>
    </row>
    <row r="49" spans="2:10" ht="12.75">
      <c r="B49" s="90"/>
      <c r="C49" s="106"/>
      <c r="D49" s="107"/>
      <c r="E49" s="106"/>
      <c r="F49" s="108"/>
      <c r="G49" s="108"/>
      <c r="H49" s="108"/>
      <c r="I49" s="108"/>
      <c r="J49" s="108"/>
    </row>
    <row r="50" spans="2:10" ht="12.75">
      <c r="B50" s="92" t="s">
        <v>121</v>
      </c>
      <c r="C50" s="110">
        <f>C22-C48</f>
        <v>4233.860000000001</v>
      </c>
      <c r="D50" s="111">
        <f>C50/$C$22*100</f>
        <v>21.4781776731171</v>
      </c>
      <c r="E50" s="110">
        <f>E22-E48</f>
        <v>2302.779999999999</v>
      </c>
      <c r="F50" s="112">
        <f>E50/$E$22*100</f>
        <v>18.08386910834002</v>
      </c>
      <c r="G50" s="112">
        <f>G22-G48</f>
        <v>565.04</v>
      </c>
      <c r="H50" s="112">
        <f>H22-H48</f>
        <v>34.11994879350739</v>
      </c>
      <c r="I50" s="112">
        <f>+E50+G50</f>
        <v>2867.819999999999</v>
      </c>
      <c r="J50" s="112">
        <f>+I50/$I$22*100</f>
        <v>19.929353374199867</v>
      </c>
    </row>
    <row r="51" spans="2:10" ht="12.75">
      <c r="B51" s="90"/>
      <c r="C51" s="106"/>
      <c r="D51" s="107"/>
      <c r="E51" s="106"/>
      <c r="F51" s="108"/>
      <c r="G51" s="108"/>
      <c r="H51" s="108"/>
      <c r="I51" s="108"/>
      <c r="J51" s="108"/>
    </row>
    <row r="52" spans="2:10" ht="12.75">
      <c r="B52" s="90" t="s">
        <v>122</v>
      </c>
      <c r="C52" s="106"/>
      <c r="D52" s="107"/>
      <c r="E52" s="106"/>
      <c r="F52" s="108"/>
      <c r="G52" s="108"/>
      <c r="H52" s="108"/>
      <c r="I52" s="108"/>
      <c r="J52" s="108"/>
    </row>
    <row r="53" spans="2:10" ht="12.75">
      <c r="B53" s="90"/>
      <c r="C53" s="106"/>
      <c r="D53" s="107"/>
      <c r="E53" s="106"/>
      <c r="F53" s="108"/>
      <c r="G53" s="108"/>
      <c r="H53" s="108"/>
      <c r="I53" s="108"/>
      <c r="J53" s="108"/>
    </row>
    <row r="54" spans="2:10" ht="12.75">
      <c r="B54" s="90" t="s">
        <v>123</v>
      </c>
      <c r="C54" s="106">
        <f>1108.26+280.56+183.18</f>
        <v>1572</v>
      </c>
      <c r="D54" s="107">
        <f>C54/$C$22*100</f>
        <v>7.974683929591454</v>
      </c>
      <c r="E54" s="106">
        <f>1426.78+20+15+6-20</f>
        <v>1447.78</v>
      </c>
      <c r="F54" s="108">
        <f>E54/$E$22*100</f>
        <v>11.369502956284371</v>
      </c>
      <c r="G54" s="108">
        <v>357.1</v>
      </c>
      <c r="H54" s="108">
        <f>+G54/$G$22*100</f>
        <v>21.563488804618245</v>
      </c>
      <c r="I54" s="108">
        <f>+E54+G54</f>
        <v>1804.88</v>
      </c>
      <c r="J54" s="108">
        <f>+I54/$I$22*100</f>
        <v>12.542660040736822</v>
      </c>
    </row>
    <row r="55" spans="2:10" ht="10.5" customHeight="1">
      <c r="B55" s="90"/>
      <c r="C55" s="106"/>
      <c r="D55" s="107"/>
      <c r="E55" s="106"/>
      <c r="F55" s="108"/>
      <c r="G55" s="108"/>
      <c r="H55" s="108"/>
      <c r="I55" s="108"/>
      <c r="J55" s="108"/>
    </row>
    <row r="56" spans="2:10" ht="12.75" customHeight="1" hidden="1">
      <c r="B56" s="90" t="s">
        <v>119</v>
      </c>
      <c r="C56" s="106"/>
      <c r="D56" s="107" t="e">
        <f>C56/#REF!*100</f>
        <v>#REF!</v>
      </c>
      <c r="E56" s="106"/>
      <c r="F56" s="108" t="e">
        <f>E56/#REF!*100</f>
        <v>#REF!</v>
      </c>
      <c r="G56" s="108"/>
      <c r="H56" s="108" t="e">
        <f>G56/#REF!*100</f>
        <v>#REF!</v>
      </c>
      <c r="I56" s="108"/>
      <c r="J56" s="108" t="e">
        <f>I56/#REF!*100</f>
        <v>#REF!</v>
      </c>
    </row>
    <row r="57" spans="2:10" ht="8.25" customHeight="1" hidden="1">
      <c r="B57" s="90"/>
      <c r="C57" s="106"/>
      <c r="D57" s="107"/>
      <c r="E57" s="106"/>
      <c r="F57" s="108"/>
      <c r="G57" s="108"/>
      <c r="H57" s="108"/>
      <c r="I57" s="108"/>
      <c r="J57" s="108"/>
    </row>
    <row r="58" spans="2:10" ht="14.25" customHeight="1" hidden="1">
      <c r="B58" s="90" t="s">
        <v>124</v>
      </c>
      <c r="C58" s="106"/>
      <c r="D58" s="107" t="e">
        <f>C58/#REF!*100</f>
        <v>#REF!</v>
      </c>
      <c r="E58" s="106"/>
      <c r="F58" s="108" t="e">
        <f>E58/#REF!*100</f>
        <v>#REF!</v>
      </c>
      <c r="G58" s="108"/>
      <c r="H58" s="108" t="e">
        <f>G58/#REF!*100</f>
        <v>#REF!</v>
      </c>
      <c r="I58" s="108"/>
      <c r="J58" s="108" t="e">
        <f>I58/#REF!*100</f>
        <v>#REF!</v>
      </c>
    </row>
    <row r="59" spans="2:10" ht="13.5" customHeight="1" hidden="1">
      <c r="B59" s="90"/>
      <c r="C59" s="106"/>
      <c r="D59" s="107"/>
      <c r="E59" s="106"/>
      <c r="F59" s="108"/>
      <c r="G59" s="108"/>
      <c r="H59" s="108"/>
      <c r="I59" s="108"/>
      <c r="J59" s="108"/>
    </row>
    <row r="60" spans="2:10" ht="12.75">
      <c r="B60" s="90" t="s">
        <v>125</v>
      </c>
      <c r="C60" s="106">
        <f>109.78+325.22</f>
        <v>435</v>
      </c>
      <c r="D60" s="107">
        <f>C60/$C$22*100</f>
        <v>2.2067350568525974</v>
      </c>
      <c r="E60" s="106">
        <f>617.78+12-223.79</f>
        <v>405.99</v>
      </c>
      <c r="F60" s="108">
        <f>E60/$E$22*100</f>
        <v>3.188263759149797</v>
      </c>
      <c r="G60" s="108">
        <f>72.09-13.9</f>
        <v>58.190000000000005</v>
      </c>
      <c r="H60" s="108">
        <f>+G60/$G$22*100</f>
        <v>3.5138040143957876</v>
      </c>
      <c r="I60" s="108">
        <f>+E60+G60</f>
        <v>464.18</v>
      </c>
      <c r="J60" s="108">
        <f>+I60/$I$22*100</f>
        <v>3.2257279917275485</v>
      </c>
    </row>
    <row r="61" spans="2:10" ht="12.75">
      <c r="B61" s="90"/>
      <c r="C61" s="106"/>
      <c r="D61" s="107"/>
      <c r="E61" s="106"/>
      <c r="F61" s="108"/>
      <c r="G61" s="108"/>
      <c r="H61" s="108"/>
      <c r="I61" s="108"/>
      <c r="J61" s="108"/>
    </row>
    <row r="62" spans="2:10" ht="12.75">
      <c r="B62" s="92" t="s">
        <v>126</v>
      </c>
      <c r="C62" s="110">
        <f>SUM(C52:C61)</f>
        <v>2007</v>
      </c>
      <c r="D62" s="111">
        <f>C62/$C$22*100</f>
        <v>10.181418986444053</v>
      </c>
      <c r="E62" s="110">
        <f>SUM(E52:E61)</f>
        <v>1853.77</v>
      </c>
      <c r="F62" s="112">
        <f>E62/$E$22*100</f>
        <v>14.55776671543417</v>
      </c>
      <c r="G62" s="112">
        <f>SUM(G52:G61)</f>
        <v>415.29</v>
      </c>
      <c r="H62" s="112">
        <f>+G62/$G$22*100</f>
        <v>25.077292819014037</v>
      </c>
      <c r="I62" s="112">
        <f>+E62+G62</f>
        <v>2269.06</v>
      </c>
      <c r="J62" s="112">
        <f>+I62/$I$22*100</f>
        <v>15.768388032464367</v>
      </c>
    </row>
    <row r="63" spans="2:10" ht="12.75">
      <c r="B63" s="90"/>
      <c r="C63" s="106"/>
      <c r="D63" s="107"/>
      <c r="E63" s="106"/>
      <c r="F63" s="108"/>
      <c r="G63" s="113"/>
      <c r="H63" s="108"/>
      <c r="I63" s="108"/>
      <c r="J63" s="108"/>
    </row>
    <row r="64" spans="2:10" ht="12.75">
      <c r="B64" s="90" t="s">
        <v>127</v>
      </c>
      <c r="C64" s="110">
        <f>C50-C62</f>
        <v>2226.8600000000006</v>
      </c>
      <c r="D64" s="111">
        <f>C64/$C$22*100</f>
        <v>11.296758686673048</v>
      </c>
      <c r="E64" s="110">
        <f>E50-E62</f>
        <v>449.00999999999885</v>
      </c>
      <c r="F64" s="112">
        <f>E64/$E$22*100</f>
        <v>3.5261023929058513</v>
      </c>
      <c r="G64" s="112">
        <f>G50-G62</f>
        <v>149.74999999999994</v>
      </c>
      <c r="H64" s="112">
        <f>H50-H62</f>
        <v>9.042655974493353</v>
      </c>
      <c r="I64" s="112">
        <f>+E64+G64</f>
        <v>598.7599999999989</v>
      </c>
      <c r="J64" s="112">
        <f>+I64/$I$22*100</f>
        <v>4.160965341735498</v>
      </c>
    </row>
    <row r="65" spans="2:10" ht="12.75">
      <c r="B65" s="90" t="s">
        <v>128</v>
      </c>
      <c r="C65" s="106"/>
      <c r="D65" s="107"/>
      <c r="E65" s="106"/>
      <c r="F65" s="106"/>
      <c r="G65" s="114"/>
      <c r="H65" s="115"/>
      <c r="I65" s="108"/>
      <c r="J65" s="108"/>
    </row>
    <row r="66" spans="2:10" ht="12.75">
      <c r="B66" s="90"/>
      <c r="C66" s="106"/>
      <c r="D66" s="107"/>
      <c r="E66" s="106"/>
      <c r="F66" s="106"/>
      <c r="G66" s="108"/>
      <c r="H66" s="115"/>
      <c r="I66" s="108"/>
      <c r="J66" s="108"/>
    </row>
    <row r="67" spans="2:10" ht="12.75">
      <c r="B67" s="90" t="s">
        <v>128</v>
      </c>
      <c r="C67" s="106">
        <v>697.2</v>
      </c>
      <c r="D67" s="107">
        <f>C67/$C$22*100</f>
        <v>3.5368636359485763</v>
      </c>
      <c r="E67" s="106">
        <v>681.54</v>
      </c>
      <c r="F67" s="106">
        <f>E67/$E$22*100</f>
        <v>5.35217439447019</v>
      </c>
      <c r="G67" s="108">
        <v>62.9</v>
      </c>
      <c r="H67" s="115">
        <f>+G67/$G$22*100</f>
        <v>3.7982174343614887</v>
      </c>
      <c r="I67" s="108">
        <f>+E67+G67</f>
        <v>744.4399999999999</v>
      </c>
      <c r="J67" s="108">
        <f>+I67/$I$22*100</f>
        <v>5.1733399676023435</v>
      </c>
    </row>
    <row r="68" spans="2:10" ht="12.75">
      <c r="B68" s="90"/>
      <c r="C68" s="106"/>
      <c r="D68" s="107"/>
      <c r="E68" s="106"/>
      <c r="F68" s="106"/>
      <c r="G68" s="108"/>
      <c r="H68" s="115"/>
      <c r="I68" s="108"/>
      <c r="J68" s="108"/>
    </row>
    <row r="69" spans="2:10" ht="12.75">
      <c r="B69" s="92" t="s">
        <v>129</v>
      </c>
      <c r="C69" s="110">
        <f>C64-C67</f>
        <v>1529.6600000000005</v>
      </c>
      <c r="D69" s="111">
        <f>C69/$C$22*100</f>
        <v>7.75989505072447</v>
      </c>
      <c r="E69" s="110">
        <f>E64-E67</f>
        <v>-232.5300000000011</v>
      </c>
      <c r="F69" s="110">
        <f>E69/$E$22*100</f>
        <v>-1.8260720015643384</v>
      </c>
      <c r="G69" s="112">
        <f>G64-G67</f>
        <v>86.84999999999994</v>
      </c>
      <c r="H69" s="116">
        <f>+G69/$G$22*100</f>
        <v>5.244438540131878</v>
      </c>
      <c r="I69" s="112">
        <f>+E69+G69</f>
        <v>-145.68000000000117</v>
      </c>
      <c r="J69" s="112">
        <f>+I69/$I$22*100</f>
        <v>-1.012374625866847</v>
      </c>
    </row>
    <row r="70" spans="2:10" ht="12.75">
      <c r="B70" s="90"/>
      <c r="C70" s="106"/>
      <c r="D70" s="107"/>
      <c r="E70" s="106"/>
      <c r="F70" s="106"/>
      <c r="G70" s="108"/>
      <c r="H70" s="115"/>
      <c r="I70" s="108"/>
      <c r="J70" s="108"/>
    </row>
    <row r="71" spans="2:10" ht="12.75">
      <c r="B71" s="90" t="s">
        <v>77</v>
      </c>
      <c r="C71" s="106">
        <v>1006.68</v>
      </c>
      <c r="D71" s="107">
        <f>C71/$C$22*100</f>
        <v>5.106841487430741</v>
      </c>
      <c r="E71" s="106">
        <v>545.45</v>
      </c>
      <c r="F71" s="106">
        <f>E71/$E$22*100</f>
        <v>4.283451482618431</v>
      </c>
      <c r="G71" s="108">
        <v>72.07</v>
      </c>
      <c r="H71" s="115">
        <f>+G71/$G$22*100</f>
        <v>4.351948020579212</v>
      </c>
      <c r="I71" s="108">
        <f>+E71+G71</f>
        <v>617.52</v>
      </c>
      <c r="J71" s="108">
        <f>+I71/$I$22*100</f>
        <v>4.291334287241147</v>
      </c>
    </row>
    <row r="72" spans="2:10" ht="12.75">
      <c r="B72" s="89"/>
      <c r="C72" s="106"/>
      <c r="D72" s="107"/>
      <c r="E72" s="106"/>
      <c r="F72" s="106"/>
      <c r="G72" s="108"/>
      <c r="H72" s="115"/>
      <c r="I72" s="108"/>
      <c r="J72" s="108"/>
    </row>
    <row r="73" spans="2:10" ht="12.75">
      <c r="B73" s="92" t="s">
        <v>130</v>
      </c>
      <c r="C73" s="110">
        <f>C69-C71</f>
        <v>522.9800000000006</v>
      </c>
      <c r="D73" s="111">
        <f>C73/$C$22*100</f>
        <v>2.65305356329373</v>
      </c>
      <c r="E73" s="110">
        <f>E69-E71</f>
        <v>-777.9800000000012</v>
      </c>
      <c r="F73" s="110">
        <f>E73/$E$22*100</f>
        <v>-6.109523484182769</v>
      </c>
      <c r="G73" s="112">
        <f>G69-G71</f>
        <v>14.779999999999944</v>
      </c>
      <c r="H73" s="116">
        <f>+G73/$G$22*100</f>
        <v>0.8924905195526643</v>
      </c>
      <c r="I73" s="112">
        <f>+E73+G73</f>
        <v>-763.2000000000012</v>
      </c>
      <c r="J73" s="112">
        <f>+I73/$I$22*100</f>
        <v>-5.303708913107994</v>
      </c>
    </row>
    <row r="74" spans="2:8" ht="12.75" hidden="1">
      <c r="B74" s="117"/>
      <c r="C74" s="118"/>
      <c r="D74" s="118"/>
      <c r="E74" s="119"/>
      <c r="F74" s="120"/>
      <c r="G74" s="119"/>
      <c r="H74" s="120"/>
    </row>
    <row r="75" spans="2:8" ht="12.75" hidden="1">
      <c r="B75" s="119" t="s">
        <v>131</v>
      </c>
      <c r="C75" s="121"/>
      <c r="D75" s="121"/>
      <c r="E75" s="122"/>
      <c r="F75" s="123"/>
      <c r="G75" s="122"/>
      <c r="H75" s="123"/>
    </row>
    <row r="76" spans="2:8" ht="12.75" hidden="1">
      <c r="B76" s="124"/>
      <c r="C76" s="87"/>
      <c r="D76" s="87"/>
      <c r="E76" s="124"/>
      <c r="F76" s="125"/>
      <c r="G76" s="124"/>
      <c r="H76" s="125"/>
    </row>
    <row r="77" spans="2:8" ht="14.25" customHeight="1" hidden="1">
      <c r="B77" s="117"/>
      <c r="C77" s="117"/>
      <c r="D77" s="126"/>
      <c r="E77" s="117"/>
      <c r="F77" s="126"/>
      <c r="G77" s="117"/>
      <c r="H77" s="126"/>
    </row>
    <row r="78" spans="2:8" ht="12.75" hidden="1">
      <c r="B78" s="119" t="s">
        <v>132</v>
      </c>
      <c r="C78" s="127"/>
      <c r="D78" s="128"/>
      <c r="E78" s="127"/>
      <c r="F78" s="128"/>
      <c r="G78" s="127"/>
      <c r="H78" s="128"/>
    </row>
    <row r="79" spans="2:8" ht="12.75" hidden="1">
      <c r="B79" s="119" t="s">
        <v>133</v>
      </c>
      <c r="C79" s="124"/>
      <c r="D79" s="125"/>
      <c r="E79" s="124"/>
      <c r="F79" s="125"/>
      <c r="G79" s="124"/>
      <c r="H79" s="125"/>
    </row>
    <row r="80" spans="2:8" ht="12.75" hidden="1">
      <c r="B80" s="129"/>
      <c r="C80" s="129"/>
      <c r="D80" s="130"/>
      <c r="E80" s="129"/>
      <c r="F80" s="130"/>
      <c r="G80" s="129"/>
      <c r="H80" s="130"/>
    </row>
    <row r="81" spans="2:8" ht="12.75" hidden="1">
      <c r="B81" s="124"/>
      <c r="C81" s="124"/>
      <c r="D81" s="125"/>
      <c r="E81" s="124"/>
      <c r="F81" s="125"/>
      <c r="G81" s="124"/>
      <c r="H81" s="125"/>
    </row>
    <row r="82" spans="2:8" ht="12.75" hidden="1">
      <c r="B82" s="124"/>
      <c r="C82" s="124"/>
      <c r="D82" s="125"/>
      <c r="E82" s="124"/>
      <c r="F82" s="125"/>
      <c r="G82" s="124"/>
      <c r="H82" s="125"/>
    </row>
    <row r="83" spans="2:8" ht="12.75" hidden="1">
      <c r="B83" s="124"/>
      <c r="C83" s="124"/>
      <c r="D83" s="125"/>
      <c r="E83" s="124"/>
      <c r="F83" s="125"/>
      <c r="G83" s="124"/>
      <c r="H83" s="125"/>
    </row>
    <row r="84" spans="2:8" ht="12.75" hidden="1">
      <c r="B84" s="119" t="s">
        <v>134</v>
      </c>
      <c r="C84" s="124"/>
      <c r="D84" s="125"/>
      <c r="E84" s="124"/>
      <c r="F84" s="125"/>
      <c r="G84" s="124"/>
      <c r="H84" s="125"/>
    </row>
    <row r="85" spans="2:8" ht="12.75" hidden="1">
      <c r="B85" s="119" t="s">
        <v>135</v>
      </c>
      <c r="C85" s="131">
        <v>16211</v>
      </c>
      <c r="D85" s="125"/>
      <c r="E85" s="131">
        <v>13750</v>
      </c>
      <c r="F85" s="125"/>
      <c r="G85" s="131">
        <v>16211</v>
      </c>
      <c r="H85" s="125"/>
    </row>
    <row r="86" spans="2:8" ht="10.5" customHeight="1" hidden="1">
      <c r="B86" s="124"/>
      <c r="C86" s="119"/>
      <c r="D86" s="125"/>
      <c r="E86" s="119"/>
      <c r="F86" s="125"/>
      <c r="G86" s="119"/>
      <c r="H86" s="125"/>
    </row>
    <row r="87" spans="2:8" ht="12.75" hidden="1">
      <c r="B87" s="119" t="s">
        <v>136</v>
      </c>
      <c r="C87" s="119">
        <v>21030.473</v>
      </c>
      <c r="D87" s="125"/>
      <c r="E87" s="119">
        <v>21030.473</v>
      </c>
      <c r="F87" s="125"/>
      <c r="G87" s="119">
        <v>21030.473</v>
      </c>
      <c r="H87" s="125"/>
    </row>
    <row r="88" spans="2:8" ht="12.75" hidden="1">
      <c r="B88" s="129"/>
      <c r="C88" s="129"/>
      <c r="D88" s="130"/>
      <c r="E88" s="129"/>
      <c r="F88" s="130"/>
      <c r="G88" s="129"/>
      <c r="H88" s="130"/>
    </row>
    <row r="89" spans="2:6" ht="12.75">
      <c r="B89" s="86"/>
      <c r="C89" s="86"/>
      <c r="D89" s="86"/>
      <c r="E89" s="86"/>
      <c r="F89" s="86"/>
    </row>
    <row r="90" spans="2:6" ht="12.75">
      <c r="B90" s="86"/>
      <c r="C90" s="86"/>
      <c r="D90" s="86"/>
      <c r="E90" s="86"/>
      <c r="F90" s="86"/>
    </row>
    <row r="92" ht="12">
      <c r="G92" s="132"/>
    </row>
  </sheetData>
  <sheetProtection/>
  <mergeCells count="7">
    <mergeCell ref="E4:F4"/>
    <mergeCell ref="G4:H4"/>
    <mergeCell ref="I4:J4"/>
    <mergeCell ref="C5:D5"/>
    <mergeCell ref="E5:F5"/>
    <mergeCell ref="G5:H5"/>
    <mergeCell ref="I5:J5"/>
  </mergeCells>
  <printOptions/>
  <pageMargins left="0.75" right="0" top="0.5" bottom="0.5" header="0.5" footer="0.5"/>
  <pageSetup horizontalDpi="180" verticalDpi="180" orientation="portrait" paperSize="9" scale="80" r:id="rId1"/>
</worksheet>
</file>

<file path=xl/worksheets/sheet16.xml><?xml version="1.0" encoding="utf-8"?>
<worksheet xmlns="http://schemas.openxmlformats.org/spreadsheetml/2006/main" xmlns:r="http://schemas.openxmlformats.org/officeDocument/2006/relationships">
  <dimension ref="B1:E28"/>
  <sheetViews>
    <sheetView zoomScalePageLayoutView="0" workbookViewId="0" topLeftCell="A7">
      <selection activeCell="E27" sqref="E27"/>
    </sheetView>
  </sheetViews>
  <sheetFormatPr defaultColWidth="9.140625" defaultRowHeight="18" customHeight="1"/>
  <cols>
    <col min="1" max="1" width="9.140625" style="53" customWidth="1"/>
    <col min="2" max="2" width="33.28125" style="53" customWidth="1"/>
    <col min="3" max="3" width="12.140625" style="53" bestFit="1" customWidth="1"/>
    <col min="4" max="4" width="11.00390625" style="53" bestFit="1" customWidth="1"/>
    <col min="5" max="5" width="12.140625" style="53" bestFit="1" customWidth="1"/>
    <col min="6" max="16384" width="9.140625" style="53" customWidth="1"/>
  </cols>
  <sheetData>
    <row r="1" spans="2:5" ht="18" customHeight="1">
      <c r="B1" s="54" t="s">
        <v>64</v>
      </c>
      <c r="C1" s="54"/>
      <c r="D1" s="54"/>
      <c r="E1" s="54"/>
    </row>
    <row r="2" spans="2:5" ht="18" customHeight="1">
      <c r="B2" s="54"/>
      <c r="C2" s="54"/>
      <c r="D2" s="54"/>
      <c r="E2" s="54"/>
    </row>
    <row r="3" spans="2:5" ht="18" customHeight="1">
      <c r="B3" s="54" t="s">
        <v>65</v>
      </c>
      <c r="C3" s="54"/>
      <c r="D3" s="54"/>
      <c r="E3" s="54"/>
    </row>
    <row r="4" spans="2:5" ht="18" customHeight="1">
      <c r="B4" s="54"/>
      <c r="C4" s="54"/>
      <c r="D4" s="54"/>
      <c r="E4" s="54" t="s">
        <v>66</v>
      </c>
    </row>
    <row r="5" spans="2:5" ht="18" customHeight="1">
      <c r="B5" s="55" t="s">
        <v>67</v>
      </c>
      <c r="C5" s="56" t="s">
        <v>68</v>
      </c>
      <c r="D5" s="56" t="s">
        <v>69</v>
      </c>
      <c r="E5" s="57" t="s">
        <v>70</v>
      </c>
    </row>
    <row r="6" spans="2:5" ht="18" customHeight="1">
      <c r="B6" s="58"/>
      <c r="C6" s="59"/>
      <c r="D6" s="59"/>
      <c r="E6" s="60" t="s">
        <v>71</v>
      </c>
    </row>
    <row r="7" spans="2:5" ht="18" customHeight="1">
      <c r="B7" s="61"/>
      <c r="C7" s="62"/>
      <c r="D7" s="62"/>
      <c r="E7" s="63"/>
    </row>
    <row r="8" spans="2:5" ht="18" customHeight="1">
      <c r="B8" s="61" t="s">
        <v>72</v>
      </c>
      <c r="C8" s="64">
        <v>6200.46</v>
      </c>
      <c r="D8" s="64">
        <v>968.71</v>
      </c>
      <c r="E8" s="65">
        <f>+C8+D8</f>
        <v>7169.17</v>
      </c>
    </row>
    <row r="9" spans="2:5" ht="18" customHeight="1">
      <c r="B9" s="61"/>
      <c r="C9" s="64"/>
      <c r="D9" s="64"/>
      <c r="E9" s="65"/>
    </row>
    <row r="10" spans="2:5" ht="18" customHeight="1">
      <c r="B10" s="61" t="s">
        <v>73</v>
      </c>
      <c r="C10" s="64">
        <v>6034.35</v>
      </c>
      <c r="D10" s="64">
        <v>847.06</v>
      </c>
      <c r="E10" s="65">
        <f>+C10+D10</f>
        <v>6881.41</v>
      </c>
    </row>
    <row r="11" spans="2:5" ht="18" customHeight="1">
      <c r="B11" s="61"/>
      <c r="C11" s="64"/>
      <c r="D11" s="64"/>
      <c r="E11" s="65"/>
    </row>
    <row r="12" spans="2:5" ht="18" customHeight="1">
      <c r="B12" s="66" t="s">
        <v>74</v>
      </c>
      <c r="C12" s="67">
        <f>+C8-C10</f>
        <v>166.10999999999967</v>
      </c>
      <c r="D12" s="67">
        <f>+D8-D10</f>
        <v>121.65000000000009</v>
      </c>
      <c r="E12" s="67">
        <f>+E8-E10</f>
        <v>287.7600000000002</v>
      </c>
    </row>
    <row r="13" spans="2:5" ht="18" customHeight="1">
      <c r="B13" s="61"/>
      <c r="C13" s="64"/>
      <c r="D13" s="64"/>
      <c r="E13" s="65"/>
    </row>
    <row r="14" spans="2:5" ht="18" customHeight="1">
      <c r="B14" s="61" t="s">
        <v>75</v>
      </c>
      <c r="C14" s="64">
        <v>340.71</v>
      </c>
      <c r="D14" s="64">
        <v>33.92</v>
      </c>
      <c r="E14" s="65">
        <f>+C14+D14</f>
        <v>374.63</v>
      </c>
    </row>
    <row r="15" spans="2:5" ht="18" customHeight="1">
      <c r="B15" s="61"/>
      <c r="C15" s="64"/>
      <c r="D15" s="64"/>
      <c r="E15" s="65"/>
    </row>
    <row r="16" spans="2:5" ht="18" customHeight="1">
      <c r="B16" s="66" t="s">
        <v>76</v>
      </c>
      <c r="C16" s="67">
        <f>+C12-C14</f>
        <v>-174.6000000000003</v>
      </c>
      <c r="D16" s="67">
        <f>+D12-D14</f>
        <v>87.73000000000009</v>
      </c>
      <c r="E16" s="68">
        <f>+C16+D16</f>
        <v>-86.87000000000022</v>
      </c>
    </row>
    <row r="17" spans="2:5" ht="18" customHeight="1">
      <c r="B17" s="61"/>
      <c r="C17" s="64"/>
      <c r="D17" s="64"/>
      <c r="E17" s="65"/>
    </row>
    <row r="18" spans="2:5" ht="18" customHeight="1">
      <c r="B18" s="61" t="s">
        <v>77</v>
      </c>
      <c r="C18" s="64">
        <v>272.21</v>
      </c>
      <c r="D18" s="64">
        <v>35.01</v>
      </c>
      <c r="E18" s="65">
        <f>+C18+D18</f>
        <v>307.21999999999997</v>
      </c>
    </row>
    <row r="19" spans="2:5" ht="18" customHeight="1">
      <c r="B19" s="61"/>
      <c r="C19" s="64"/>
      <c r="D19" s="64"/>
      <c r="E19" s="65"/>
    </row>
    <row r="20" spans="2:5" ht="18" customHeight="1">
      <c r="B20" s="69"/>
      <c r="C20" s="70"/>
      <c r="D20" s="70"/>
      <c r="E20" s="71"/>
    </row>
    <row r="21" spans="2:5" ht="18" customHeight="1">
      <c r="B21" s="61" t="s">
        <v>78</v>
      </c>
      <c r="C21" s="64">
        <f>+C16-C18</f>
        <v>-446.8100000000003</v>
      </c>
      <c r="D21" s="64">
        <f>+D16-D18</f>
        <v>52.72000000000009</v>
      </c>
      <c r="E21" s="65">
        <f>+C21+D21</f>
        <v>-394.0900000000002</v>
      </c>
    </row>
    <row r="22" spans="2:5" ht="18" customHeight="1">
      <c r="B22" s="58"/>
      <c r="C22" s="59"/>
      <c r="D22" s="59"/>
      <c r="E22" s="72"/>
    </row>
    <row r="23" spans="2:5" ht="18" customHeight="1">
      <c r="B23" s="69" t="s">
        <v>79</v>
      </c>
      <c r="C23" s="73"/>
      <c r="D23" s="74"/>
      <c r="E23" s="74"/>
    </row>
    <row r="24" spans="2:5" ht="18" customHeight="1">
      <c r="B24" s="61" t="s">
        <v>38</v>
      </c>
      <c r="C24" s="62">
        <v>5.03</v>
      </c>
      <c r="D24" s="63">
        <v>0.56</v>
      </c>
      <c r="E24" s="63">
        <f>+C24+D24</f>
        <v>5.59</v>
      </c>
    </row>
    <row r="25" spans="2:5" ht="18" customHeight="1">
      <c r="B25" s="61" t="s">
        <v>80</v>
      </c>
      <c r="C25" s="62">
        <v>20.42</v>
      </c>
      <c r="D25" s="63">
        <v>0</v>
      </c>
      <c r="E25" s="63">
        <f>+C25+D25</f>
        <v>20.42</v>
      </c>
    </row>
    <row r="26" spans="2:5" ht="18" customHeight="1">
      <c r="B26" s="69"/>
      <c r="C26" s="69"/>
      <c r="D26" s="73"/>
      <c r="E26" s="74"/>
    </row>
    <row r="27" spans="2:5" ht="18" customHeight="1">
      <c r="B27" s="61" t="s">
        <v>81</v>
      </c>
      <c r="C27" s="75">
        <f>+C21-C24-C25</f>
        <v>-472.2600000000003</v>
      </c>
      <c r="D27" s="76">
        <f>+D21-D24-D25</f>
        <v>52.16000000000009</v>
      </c>
      <c r="E27" s="77">
        <f>+E21-E24-E25</f>
        <v>-420.1000000000002</v>
      </c>
    </row>
    <row r="28" spans="2:5" ht="18" customHeight="1">
      <c r="B28" s="58"/>
      <c r="C28" s="58"/>
      <c r="D28" s="59"/>
      <c r="E28" s="72"/>
    </row>
  </sheetData>
  <sheetProtection/>
  <printOptions/>
  <pageMargins left="0.75" right="0.75" top="1" bottom="1" header="0.5" footer="0.5"/>
  <pageSetup horizontalDpi="180" verticalDpi="180" orientation="portrait" r:id="rId1"/>
</worksheet>
</file>

<file path=xl/worksheets/sheet17.xml><?xml version="1.0" encoding="utf-8"?>
<worksheet xmlns="http://schemas.openxmlformats.org/spreadsheetml/2006/main" xmlns:r="http://schemas.openxmlformats.org/officeDocument/2006/relationships">
  <dimension ref="B1:I38"/>
  <sheetViews>
    <sheetView zoomScalePageLayoutView="0" workbookViewId="0" topLeftCell="A1">
      <selection activeCell="G16" sqref="G16"/>
    </sheetView>
  </sheetViews>
  <sheetFormatPr defaultColWidth="9.140625" defaultRowHeight="18" customHeight="1"/>
  <cols>
    <col min="1" max="1" width="9.140625" style="53" customWidth="1"/>
    <col min="2" max="2" width="33.28125" style="53" customWidth="1"/>
    <col min="3" max="3" width="12.140625" style="53" bestFit="1" customWidth="1"/>
    <col min="4" max="4" width="11.00390625" style="53" bestFit="1" customWidth="1"/>
    <col min="5" max="5" width="13.421875" style="53" customWidth="1"/>
    <col min="6" max="6" width="12.00390625" style="53" customWidth="1"/>
    <col min="7" max="7" width="9.140625" style="53" customWidth="1"/>
    <col min="8" max="8" width="12.421875" style="53" customWidth="1"/>
    <col min="9" max="9" width="0" style="53" hidden="1" customWidth="1"/>
    <col min="10" max="16384" width="9.140625" style="53" customWidth="1"/>
  </cols>
  <sheetData>
    <row r="1" spans="2:5" ht="18" customHeight="1">
      <c r="B1" s="54" t="s">
        <v>64</v>
      </c>
      <c r="C1" s="54"/>
      <c r="D1" s="54"/>
      <c r="E1" s="54"/>
    </row>
    <row r="2" spans="2:5" ht="18" customHeight="1">
      <c r="B2" s="54"/>
      <c r="C2" s="54"/>
      <c r="D2" s="54"/>
      <c r="E2" s="54"/>
    </row>
    <row r="3" spans="2:5" ht="18" customHeight="1">
      <c r="B3" s="54" t="s">
        <v>87</v>
      </c>
      <c r="C3" s="54"/>
      <c r="D3" s="54"/>
      <c r="E3" s="54"/>
    </row>
    <row r="4" spans="2:5" ht="18" customHeight="1">
      <c r="B4" s="54"/>
      <c r="C4" s="54"/>
      <c r="D4" s="54"/>
      <c r="E4" s="54" t="s">
        <v>66</v>
      </c>
    </row>
    <row r="5" spans="2:5" ht="18" customHeight="1">
      <c r="B5" s="55" t="s">
        <v>67</v>
      </c>
      <c r="C5" s="56" t="s">
        <v>68</v>
      </c>
      <c r="D5" s="56" t="s">
        <v>69</v>
      </c>
      <c r="E5" s="57" t="s">
        <v>70</v>
      </c>
    </row>
    <row r="6" spans="2:5" ht="18" customHeight="1">
      <c r="B6" s="58"/>
      <c r="C6" s="59"/>
      <c r="D6" s="59"/>
      <c r="E6" s="60" t="s">
        <v>71</v>
      </c>
    </row>
    <row r="7" spans="2:9" ht="18" customHeight="1">
      <c r="B7" s="61"/>
      <c r="C7" s="62"/>
      <c r="D7" s="62"/>
      <c r="E7" s="63"/>
      <c r="I7" s="78"/>
    </row>
    <row r="8" spans="2:9" ht="18" customHeight="1">
      <c r="B8" s="61" t="s">
        <v>72</v>
      </c>
      <c r="C8" s="64">
        <v>12933.53</v>
      </c>
      <c r="D8" s="64">
        <v>1605.23</v>
      </c>
      <c r="E8" s="65">
        <f>+C8+D8</f>
        <v>14538.76</v>
      </c>
      <c r="I8" s="78">
        <v>206.01</v>
      </c>
    </row>
    <row r="9" spans="2:9" ht="18" customHeight="1">
      <c r="B9" s="61"/>
      <c r="C9" s="64"/>
      <c r="D9" s="64"/>
      <c r="E9" s="65"/>
      <c r="I9" s="78"/>
    </row>
    <row r="10" spans="2:9" ht="18" customHeight="1">
      <c r="B10" s="61" t="s">
        <v>73</v>
      </c>
      <c r="C10" s="64">
        <f>17850.01-4094.89+40-692.2-570.89+28-32-10.5-43</f>
        <v>12474.529999999999</v>
      </c>
      <c r="D10" s="64">
        <f>847.06+613.15</f>
        <v>1460.21</v>
      </c>
      <c r="E10" s="65">
        <f>+C10+D10</f>
        <v>13934.739999999998</v>
      </c>
      <c r="I10" s="78">
        <v>224.83</v>
      </c>
    </row>
    <row r="11" spans="2:9" ht="18" customHeight="1">
      <c r="B11" s="61"/>
      <c r="C11" s="64"/>
      <c r="D11" s="64"/>
      <c r="E11" s="65"/>
      <c r="I11" s="78"/>
    </row>
    <row r="12" spans="2:9" ht="18" customHeight="1">
      <c r="B12" s="66" t="s">
        <v>74</v>
      </c>
      <c r="C12" s="67">
        <f>+C8-C10</f>
        <v>459.0000000000018</v>
      </c>
      <c r="D12" s="67">
        <f>+D8-D10</f>
        <v>145.01999999999998</v>
      </c>
      <c r="E12" s="67">
        <f>+E8-E10</f>
        <v>604.0200000000023</v>
      </c>
      <c r="I12" s="79">
        <f>+I8-I10</f>
        <v>-18.82000000000002</v>
      </c>
    </row>
    <row r="13" spans="2:9" ht="18" customHeight="1">
      <c r="B13" s="61"/>
      <c r="C13" s="64"/>
      <c r="D13" s="64"/>
      <c r="E13" s="65"/>
      <c r="I13" s="78"/>
    </row>
    <row r="14" spans="2:9" ht="18" customHeight="1">
      <c r="B14" s="61" t="s">
        <v>75</v>
      </c>
      <c r="C14" s="64">
        <v>692.2</v>
      </c>
      <c r="D14" s="64">
        <v>62.9</v>
      </c>
      <c r="E14" s="65">
        <f>+C14+D14</f>
        <v>755.1</v>
      </c>
      <c r="I14" s="80">
        <v>2</v>
      </c>
    </row>
    <row r="15" spans="2:9" ht="18" customHeight="1">
      <c r="B15" s="61"/>
      <c r="C15" s="64"/>
      <c r="D15" s="64"/>
      <c r="E15" s="65"/>
      <c r="I15" s="78"/>
    </row>
    <row r="16" spans="2:9" ht="18" customHeight="1">
      <c r="B16" s="66" t="s">
        <v>76</v>
      </c>
      <c r="C16" s="67">
        <f>+C12-C14</f>
        <v>-233.19999999999823</v>
      </c>
      <c r="D16" s="67">
        <f>+D12-D14</f>
        <v>82.11999999999998</v>
      </c>
      <c r="E16" s="68">
        <f>+C16+D16</f>
        <v>-151.07999999999825</v>
      </c>
      <c r="I16" s="79">
        <f>+I12-I14</f>
        <v>-20.82000000000002</v>
      </c>
    </row>
    <row r="17" spans="2:9" ht="18" customHeight="1">
      <c r="B17" s="61"/>
      <c r="C17" s="64"/>
      <c r="D17" s="64"/>
      <c r="E17" s="65"/>
      <c r="I17" s="78"/>
    </row>
    <row r="18" spans="2:9" ht="18" customHeight="1">
      <c r="B18" s="61" t="s">
        <v>77</v>
      </c>
      <c r="C18" s="64">
        <v>570.89</v>
      </c>
      <c r="D18" s="64">
        <v>70</v>
      </c>
      <c r="E18" s="65">
        <f>+C18+D18</f>
        <v>640.89</v>
      </c>
      <c r="I18" s="80">
        <v>8</v>
      </c>
    </row>
    <row r="19" spans="2:9" ht="18" customHeight="1">
      <c r="B19" s="61"/>
      <c r="C19" s="64"/>
      <c r="D19" s="64"/>
      <c r="E19" s="65"/>
      <c r="I19" s="78"/>
    </row>
    <row r="20" spans="2:9" ht="18" customHeight="1">
      <c r="B20" s="69"/>
      <c r="C20" s="70"/>
      <c r="D20" s="70"/>
      <c r="E20" s="71"/>
      <c r="I20" s="78"/>
    </row>
    <row r="21" spans="2:9" ht="18" customHeight="1">
      <c r="B21" s="61" t="s">
        <v>78</v>
      </c>
      <c r="C21" s="64">
        <f>+C16-C18</f>
        <v>-804.0899999999982</v>
      </c>
      <c r="D21" s="64">
        <f>+D16-D18</f>
        <v>12.119999999999976</v>
      </c>
      <c r="E21" s="65">
        <f>+C21+D21</f>
        <v>-791.9699999999982</v>
      </c>
      <c r="I21" s="79">
        <f>+I16-I18</f>
        <v>-28.82000000000002</v>
      </c>
    </row>
    <row r="22" spans="2:5" ht="18" customHeight="1">
      <c r="B22" s="58"/>
      <c r="C22" s="59"/>
      <c r="D22" s="59"/>
      <c r="E22" s="72"/>
    </row>
    <row r="23" spans="2:5" ht="18" customHeight="1">
      <c r="B23" s="69" t="s">
        <v>79</v>
      </c>
      <c r="C23" s="73"/>
      <c r="D23" s="74"/>
      <c r="E23" s="74"/>
    </row>
    <row r="24" spans="2:5" ht="18" customHeight="1">
      <c r="B24" s="61" t="s">
        <v>38</v>
      </c>
      <c r="C24" s="81">
        <v>10.5</v>
      </c>
      <c r="D24" s="63">
        <v>0</v>
      </c>
      <c r="E24" s="83">
        <f>+C24+D24</f>
        <v>10.5</v>
      </c>
    </row>
    <row r="25" spans="2:5" ht="18" customHeight="1">
      <c r="B25" s="61" t="s">
        <v>80</v>
      </c>
      <c r="C25" s="62">
        <v>20.42</v>
      </c>
      <c r="D25" s="63">
        <v>0</v>
      </c>
      <c r="E25" s="63">
        <f>+C25+D25</f>
        <v>20.42</v>
      </c>
    </row>
    <row r="26" spans="2:5" ht="18" customHeight="1">
      <c r="B26" s="69"/>
      <c r="C26" s="69"/>
      <c r="D26" s="73"/>
      <c r="E26" s="74"/>
    </row>
    <row r="27" spans="2:5" ht="18" customHeight="1">
      <c r="B27" s="61" t="s">
        <v>81</v>
      </c>
      <c r="C27" s="75">
        <f>+C21-C24-C25</f>
        <v>-835.0099999999982</v>
      </c>
      <c r="D27" s="76">
        <f>+D21-D24-D25</f>
        <v>12.119999999999976</v>
      </c>
      <c r="E27" s="77">
        <f>+E21-E24-E25</f>
        <v>-822.8899999999982</v>
      </c>
    </row>
    <row r="28" spans="2:5" ht="18" customHeight="1">
      <c r="B28" s="58"/>
      <c r="C28" s="58"/>
      <c r="D28" s="59"/>
      <c r="E28" s="72"/>
    </row>
    <row r="31" spans="6:7" ht="18" customHeight="1">
      <c r="F31" s="82"/>
      <c r="G31" s="82"/>
    </row>
    <row r="32" spans="6:7" ht="18" customHeight="1">
      <c r="F32" s="53" t="s">
        <v>82</v>
      </c>
      <c r="G32" s="53">
        <v>-32</v>
      </c>
    </row>
    <row r="33" spans="6:7" ht="18" customHeight="1">
      <c r="F33" s="53" t="s">
        <v>83</v>
      </c>
      <c r="G33" s="53">
        <v>6</v>
      </c>
    </row>
    <row r="34" spans="6:8" ht="18" customHeight="1">
      <c r="F34" s="53" t="s">
        <v>84</v>
      </c>
      <c r="G34" s="53">
        <v>3</v>
      </c>
      <c r="H34" s="82"/>
    </row>
    <row r="35" spans="6:7" ht="18" customHeight="1">
      <c r="F35" s="53" t="s">
        <v>85</v>
      </c>
      <c r="G35" s="53">
        <v>4</v>
      </c>
    </row>
    <row r="36" spans="6:7" ht="18" customHeight="1">
      <c r="F36" s="53" t="s">
        <v>86</v>
      </c>
      <c r="G36" s="53">
        <v>8</v>
      </c>
    </row>
    <row r="37" spans="6:7" ht="18" customHeight="1">
      <c r="F37" s="53" t="s">
        <v>88</v>
      </c>
      <c r="G37" s="53">
        <v>5</v>
      </c>
    </row>
    <row r="38" spans="6:7" ht="18" customHeight="1">
      <c r="F38" s="53" t="s">
        <v>89</v>
      </c>
      <c r="G38" s="53">
        <v>7</v>
      </c>
    </row>
  </sheetData>
  <sheetProtection/>
  <printOptions/>
  <pageMargins left="0.5" right="0.5" top="1.25" bottom="0.5" header="0.5" footer="0.5"/>
  <pageSetup horizontalDpi="180" verticalDpi="180" orientation="portrait" paperSize="9" scale="110" r:id="rId1"/>
</worksheet>
</file>

<file path=xl/worksheets/sheet2.xml><?xml version="1.0" encoding="utf-8"?>
<worksheet xmlns="http://schemas.openxmlformats.org/spreadsheetml/2006/main" xmlns:r="http://schemas.openxmlformats.org/officeDocument/2006/relationships">
  <sheetPr>
    <pageSetUpPr fitToPage="1"/>
  </sheetPr>
  <dimension ref="A1:M78"/>
  <sheetViews>
    <sheetView zoomScalePageLayoutView="0" workbookViewId="0" topLeftCell="A5">
      <selection activeCell="D73" sqref="D73:I77"/>
    </sheetView>
  </sheetViews>
  <sheetFormatPr defaultColWidth="10.28125" defaultRowHeight="12.75"/>
  <cols>
    <col min="1" max="1" width="3.00390625" style="1" customWidth="1"/>
    <col min="2" max="2" width="7.140625" style="1" customWidth="1"/>
    <col min="3" max="3" width="70.00390625" style="1" bestFit="1" customWidth="1"/>
    <col min="4" max="5" width="17.140625" style="1" customWidth="1"/>
    <col min="6" max="6" width="16.57421875" style="1" customWidth="1"/>
    <col min="7" max="9" width="17.140625" style="1" hidden="1" customWidth="1"/>
    <col min="10" max="10" width="15.8515625" style="1" hidden="1" customWidth="1"/>
    <col min="11" max="11" width="6.140625" style="1" hidden="1" customWidth="1"/>
    <col min="12" max="12" width="12.7109375" style="1" customWidth="1"/>
    <col min="13" max="16384" width="10.28125" style="1" customWidth="1"/>
  </cols>
  <sheetData>
    <row r="1" spans="2:11" ht="12.75" hidden="1">
      <c r="B1" s="2"/>
      <c r="C1" s="2"/>
      <c r="D1" s="2"/>
      <c r="E1" s="2"/>
      <c r="F1" s="2"/>
      <c r="G1" s="2"/>
      <c r="H1" s="2"/>
      <c r="I1" s="2"/>
      <c r="J1" s="2"/>
      <c r="K1" s="2"/>
    </row>
    <row r="2" spans="2:13" ht="12.75" hidden="1">
      <c r="B2" s="2"/>
      <c r="C2" s="2"/>
      <c r="D2" s="2"/>
      <c r="E2" s="2"/>
      <c r="F2" s="2"/>
      <c r="G2" s="2"/>
      <c r="H2" s="2"/>
      <c r="I2" s="2"/>
      <c r="J2" s="2"/>
      <c r="K2" s="2"/>
      <c r="M2" s="3"/>
    </row>
    <row r="3" spans="2:11" ht="23.25" hidden="1">
      <c r="B3" s="275" t="s">
        <v>0</v>
      </c>
      <c r="C3" s="275"/>
      <c r="D3" s="275"/>
      <c r="E3" s="275"/>
      <c r="F3" s="275"/>
      <c r="G3" s="275"/>
      <c r="H3" s="275"/>
      <c r="I3" s="275"/>
      <c r="J3" s="275"/>
      <c r="K3" s="4"/>
    </row>
    <row r="4" spans="2:11" ht="12.75" hidden="1">
      <c r="B4" s="277" t="s">
        <v>1</v>
      </c>
      <c r="C4" s="277"/>
      <c r="D4" s="277"/>
      <c r="E4" s="277"/>
      <c r="F4" s="277"/>
      <c r="G4" s="277"/>
      <c r="H4" s="277"/>
      <c r="I4" s="277"/>
      <c r="J4" s="277"/>
      <c r="K4" s="2"/>
    </row>
    <row r="5" spans="2:11" ht="12.75" customHeight="1">
      <c r="B5" s="5"/>
      <c r="C5" s="5"/>
      <c r="D5" s="5"/>
      <c r="E5" s="5"/>
      <c r="F5" s="5"/>
      <c r="G5" s="5"/>
      <c r="H5" s="5"/>
      <c r="I5" s="5"/>
      <c r="J5" s="5"/>
      <c r="K5" s="2"/>
    </row>
    <row r="6" spans="2:11" ht="12.75">
      <c r="B6" s="5"/>
      <c r="C6" s="5"/>
      <c r="D6" s="5"/>
      <c r="E6" s="5"/>
      <c r="F6" s="5"/>
      <c r="G6" s="5"/>
      <c r="H6" s="5"/>
      <c r="I6" s="5"/>
      <c r="J6" s="5"/>
      <c r="K6" s="2"/>
    </row>
    <row r="7" spans="2:11" ht="12.75">
      <c r="B7" s="5"/>
      <c r="C7" s="5"/>
      <c r="D7" s="5"/>
      <c r="E7" s="5"/>
      <c r="F7" s="5"/>
      <c r="G7" s="5"/>
      <c r="H7" s="5"/>
      <c r="I7" s="5"/>
      <c r="J7" s="5"/>
      <c r="K7" s="2"/>
    </row>
    <row r="8" spans="2:11" ht="12.75">
      <c r="B8" s="5"/>
      <c r="C8" s="5"/>
      <c r="D8" s="5"/>
      <c r="E8" s="5"/>
      <c r="F8" s="5"/>
      <c r="G8" s="5"/>
      <c r="H8" s="5"/>
      <c r="I8" s="5"/>
      <c r="J8" s="5"/>
      <c r="K8" s="2"/>
    </row>
    <row r="9" spans="2:11" ht="16.5">
      <c r="B9" s="139"/>
      <c r="C9" s="140" t="s">
        <v>2</v>
      </c>
      <c r="D9" s="139"/>
      <c r="E9" s="139"/>
      <c r="F9" s="139"/>
      <c r="G9" s="139"/>
      <c r="H9" s="139"/>
      <c r="I9" s="139"/>
      <c r="J9" s="48"/>
      <c r="K9" s="2"/>
    </row>
    <row r="10" spans="2:11" ht="16.5">
      <c r="B10" s="139"/>
      <c r="C10" s="140" t="s">
        <v>3</v>
      </c>
      <c r="D10" s="139"/>
      <c r="E10" s="139"/>
      <c r="F10" s="139"/>
      <c r="G10" s="139"/>
      <c r="H10" s="139"/>
      <c r="I10" s="139"/>
      <c r="J10" s="48"/>
      <c r="K10" s="2"/>
    </row>
    <row r="11" spans="2:11" ht="16.5">
      <c r="B11" s="139"/>
      <c r="C11" s="140" t="s">
        <v>4</v>
      </c>
      <c r="D11" s="139"/>
      <c r="E11" s="139"/>
      <c r="F11" s="139"/>
      <c r="G11" s="139"/>
      <c r="H11" s="139"/>
      <c r="I11" s="139"/>
      <c r="J11" s="48"/>
      <c r="K11" s="2"/>
    </row>
    <row r="12" spans="2:11" ht="16.5">
      <c r="B12" s="139"/>
      <c r="C12" s="140" t="s">
        <v>5</v>
      </c>
      <c r="D12" s="139"/>
      <c r="E12" s="139"/>
      <c r="F12" s="139"/>
      <c r="G12" s="139"/>
      <c r="H12" s="139"/>
      <c r="I12" s="139"/>
      <c r="J12" s="48"/>
      <c r="K12" s="2"/>
    </row>
    <row r="13" spans="2:11" ht="16.5">
      <c r="B13" s="139"/>
      <c r="C13" s="140" t="s">
        <v>6</v>
      </c>
      <c r="D13" s="139"/>
      <c r="E13" s="139"/>
      <c r="F13" s="139"/>
      <c r="G13" s="139"/>
      <c r="H13" s="139"/>
      <c r="I13" s="139"/>
      <c r="J13" s="48"/>
      <c r="K13" s="2"/>
    </row>
    <row r="14" spans="2:11" ht="15">
      <c r="B14" s="139"/>
      <c r="C14" s="139"/>
      <c r="D14" s="139"/>
      <c r="E14" s="139"/>
      <c r="F14" s="139"/>
      <c r="G14" s="139"/>
      <c r="H14" s="139"/>
      <c r="I14" s="139"/>
      <c r="J14" s="48"/>
      <c r="K14" s="2"/>
    </row>
    <row r="15" spans="2:11" ht="16.5">
      <c r="B15" s="139"/>
      <c r="C15" s="140" t="s">
        <v>7</v>
      </c>
      <c r="D15" s="139"/>
      <c r="E15" s="139"/>
      <c r="F15" s="139"/>
      <c r="G15" s="139"/>
      <c r="H15" s="139"/>
      <c r="I15" s="139"/>
      <c r="J15" s="48"/>
      <c r="K15" s="2"/>
    </row>
    <row r="16" spans="2:11" ht="15">
      <c r="B16" s="139"/>
      <c r="C16" s="139"/>
      <c r="D16" s="139"/>
      <c r="E16" s="139"/>
      <c r="F16" s="139"/>
      <c r="G16" s="139"/>
      <c r="H16" s="139"/>
      <c r="I16" s="139"/>
      <c r="J16" s="48"/>
      <c r="K16" s="2"/>
    </row>
    <row r="17" spans="2:11" ht="15.75">
      <c r="B17" s="138" t="s">
        <v>152</v>
      </c>
      <c r="C17" s="138"/>
      <c r="D17" s="138"/>
      <c r="E17" s="138"/>
      <c r="F17" s="138"/>
      <c r="G17" s="138"/>
      <c r="H17" s="138"/>
      <c r="I17" s="138"/>
      <c r="J17" s="138"/>
      <c r="K17" s="2"/>
    </row>
    <row r="18" spans="2:11" ht="15.75">
      <c r="B18" s="138" t="s">
        <v>153</v>
      </c>
      <c r="C18" s="138"/>
      <c r="D18" s="138"/>
      <c r="E18" s="138"/>
      <c r="F18" s="138"/>
      <c r="G18" s="138"/>
      <c r="H18" s="138"/>
      <c r="I18" s="138"/>
      <c r="J18" s="138"/>
      <c r="K18" s="2"/>
    </row>
    <row r="19" spans="2:11" ht="15">
      <c r="B19" s="8"/>
      <c r="C19" s="6"/>
      <c r="D19" s="6"/>
      <c r="E19" s="6"/>
      <c r="F19" s="6"/>
      <c r="G19" s="6"/>
      <c r="H19" s="6"/>
      <c r="I19" s="6"/>
      <c r="J19" s="2"/>
      <c r="K19" s="2"/>
    </row>
    <row r="20" spans="2:11" ht="16.5">
      <c r="B20" s="7" t="s">
        <v>154</v>
      </c>
      <c r="C20" s="9"/>
      <c r="D20" s="6"/>
      <c r="E20" s="6"/>
      <c r="F20" s="6"/>
      <c r="G20" s="6"/>
      <c r="H20" s="6"/>
      <c r="I20" s="6"/>
      <c r="J20" s="2"/>
      <c r="K20" s="2"/>
    </row>
    <row r="21" spans="2:13" ht="13.5" thickBot="1">
      <c r="B21" s="8"/>
      <c r="C21" s="8"/>
      <c r="D21" s="8"/>
      <c r="E21" s="8"/>
      <c r="F21" s="141" t="s">
        <v>66</v>
      </c>
      <c r="G21" s="8"/>
      <c r="H21" s="8"/>
      <c r="I21" s="8"/>
      <c r="J21" s="10" t="s">
        <v>9</v>
      </c>
      <c r="K21" s="11"/>
      <c r="M21" s="135" t="s">
        <v>146</v>
      </c>
    </row>
    <row r="22" spans="2:9" ht="15.75">
      <c r="B22" s="12"/>
      <c r="C22" s="12"/>
      <c r="D22" s="13" t="s">
        <v>61</v>
      </c>
      <c r="E22" s="13" t="s">
        <v>61</v>
      </c>
      <c r="F22" s="14" t="s">
        <v>10</v>
      </c>
      <c r="I22" s="1">
        <v>564.53</v>
      </c>
    </row>
    <row r="23" spans="2:6" ht="15.75">
      <c r="B23" s="15" t="s">
        <v>11</v>
      </c>
      <c r="C23" s="15" t="s">
        <v>12</v>
      </c>
      <c r="D23" s="16"/>
      <c r="E23" s="16"/>
      <c r="F23" s="17" t="s">
        <v>13</v>
      </c>
    </row>
    <row r="24" spans="2:6" ht="16.5" thickBot="1">
      <c r="B24" s="18"/>
      <c r="C24" s="18"/>
      <c r="D24" s="19" t="s">
        <v>62</v>
      </c>
      <c r="E24" s="19" t="s">
        <v>63</v>
      </c>
      <c r="F24" s="20" t="s">
        <v>16</v>
      </c>
    </row>
    <row r="25" spans="2:6" ht="16.5" thickBot="1">
      <c r="B25" s="21"/>
      <c r="C25" s="22"/>
      <c r="D25" s="23" t="s">
        <v>17</v>
      </c>
      <c r="E25" s="24" t="s">
        <v>18</v>
      </c>
      <c r="F25" s="24" t="s">
        <v>19</v>
      </c>
    </row>
    <row r="26" spans="2:6" ht="15.75">
      <c r="B26" s="25"/>
      <c r="C26" s="26"/>
      <c r="D26" s="26"/>
      <c r="E26" s="26"/>
      <c r="F26" s="27"/>
    </row>
    <row r="27" spans="2:9" ht="15.75">
      <c r="B27" s="25">
        <v>1</v>
      </c>
      <c r="C27" s="15" t="s">
        <v>20</v>
      </c>
      <c r="D27" s="28">
        <f>+'GTL SEPT 08 '!I10-600.67-17.77</f>
        <v>13207.449999999999</v>
      </c>
      <c r="E27" s="28" t="e">
        <f>+#REF!-564.53</f>
        <v>#REF!</v>
      </c>
      <c r="F27" s="29">
        <v>32831.35</v>
      </c>
      <c r="H27" s="133" t="s">
        <v>137</v>
      </c>
      <c r="I27" s="84"/>
    </row>
    <row r="28" spans="2:9" ht="15.75">
      <c r="B28" s="25">
        <v>2</v>
      </c>
      <c r="C28" s="26" t="s">
        <v>21</v>
      </c>
      <c r="D28" s="28">
        <f>+'GTL SEPT 08 '!I12+'GTL SEPT 08 '!I14+'GTL SEPT 08 '!I16+'GTL SEPT 08 '!I18+'GTL SEPT 08 '!I20-4.23</f>
        <v>559.81</v>
      </c>
      <c r="E28" s="28" t="e">
        <f>+#REF!+#REF!+#REF!+#REF!+#REF!</f>
        <v>#REF!</v>
      </c>
      <c r="F28" s="29">
        <v>1346.45</v>
      </c>
      <c r="H28" s="84"/>
      <c r="I28" s="84"/>
    </row>
    <row r="29" spans="2:9" ht="15.75">
      <c r="B29" s="25">
        <v>3</v>
      </c>
      <c r="C29" s="15" t="s">
        <v>22</v>
      </c>
      <c r="D29" s="31">
        <f>+D27+D28</f>
        <v>13767.259999999998</v>
      </c>
      <c r="E29" s="31" t="e">
        <f>+E27+E28</f>
        <v>#REF!</v>
      </c>
      <c r="F29" s="31">
        <f>+F27+F28</f>
        <v>34177.799999999996</v>
      </c>
      <c r="H29" s="133" t="s">
        <v>138</v>
      </c>
      <c r="I29" s="84">
        <v>600.67</v>
      </c>
    </row>
    <row r="30" spans="2:9" ht="15.75">
      <c r="B30" s="25">
        <v>4</v>
      </c>
      <c r="C30" s="15" t="s">
        <v>23</v>
      </c>
      <c r="D30" s="28"/>
      <c r="E30" s="28"/>
      <c r="F30" s="29"/>
      <c r="H30" s="133" t="s">
        <v>139</v>
      </c>
      <c r="I30" s="84">
        <v>17.77</v>
      </c>
    </row>
    <row r="31" spans="1:9" ht="15.75">
      <c r="A31" s="1">
        <v>8</v>
      </c>
      <c r="B31" s="25"/>
      <c r="C31" s="26" t="s">
        <v>24</v>
      </c>
      <c r="D31" s="28">
        <f>+'GTL SEPT 08 '!I32</f>
        <v>-40.76000000000002</v>
      </c>
      <c r="E31" s="28" t="e">
        <f>+#REF!</f>
        <v>#REF!</v>
      </c>
      <c r="F31" s="29">
        <v>-730.6</v>
      </c>
      <c r="H31" s="133" t="s">
        <v>140</v>
      </c>
      <c r="I31" s="84">
        <v>4.23</v>
      </c>
    </row>
    <row r="32" spans="2:6" ht="15.75">
      <c r="B32" s="25"/>
      <c r="C32" s="26" t="s">
        <v>25</v>
      </c>
      <c r="D32" s="28">
        <f>+'GTL SEPT 08 '!I26+'GTL SEPT 08 '!I28-600.67</f>
        <v>6792.0199999999995</v>
      </c>
      <c r="E32" s="28" t="e">
        <f>+#REF!+#REF!-564.53</f>
        <v>#REF!</v>
      </c>
      <c r="F32" s="29">
        <v>19592.66</v>
      </c>
    </row>
    <row r="33" spans="2:6" ht="15.75">
      <c r="B33" s="25"/>
      <c r="C33" s="26" t="s">
        <v>26</v>
      </c>
      <c r="D33" s="28">
        <f>+'GTL SEPT 08 '!I30-17.77</f>
        <v>187.98</v>
      </c>
      <c r="E33" s="28" t="e">
        <f>+#REF!</f>
        <v>#REF!</v>
      </c>
      <c r="F33" s="29">
        <v>136.28</v>
      </c>
    </row>
    <row r="34" spans="2:6" ht="15.75">
      <c r="B34" s="25"/>
      <c r="C34" s="26" t="s">
        <v>27</v>
      </c>
      <c r="D34" s="28">
        <f>+'GTL SEPT 08 '!I42</f>
        <v>1419.9</v>
      </c>
      <c r="E34" s="28" t="e">
        <f>+#REF!</f>
        <v>#REF!</v>
      </c>
      <c r="F34" s="29">
        <v>4053.52</v>
      </c>
    </row>
    <row r="35" spans="2:6" ht="15.75">
      <c r="B35" s="25"/>
      <c r="C35" s="26" t="s">
        <v>28</v>
      </c>
      <c r="D35" s="28">
        <f>+'GTL SEPT 08 '!I54</f>
        <v>1804.88</v>
      </c>
      <c r="E35" s="28">
        <v>1864.19</v>
      </c>
      <c r="F35" s="29">
        <v>4013.92</v>
      </c>
    </row>
    <row r="36" spans="2:9" ht="15.75">
      <c r="B36" s="25"/>
      <c r="C36" s="26" t="s">
        <v>29</v>
      </c>
      <c r="D36" s="28">
        <f>+'GTL SEPT 08 '!I71</f>
        <v>617.52</v>
      </c>
      <c r="E36" s="28" t="e">
        <f>+#REF!</f>
        <v>#REF!</v>
      </c>
      <c r="F36" s="29">
        <v>1223.01</v>
      </c>
      <c r="I36" s="1">
        <f>+F36/2</f>
        <v>611.505</v>
      </c>
    </row>
    <row r="37" spans="2:9" ht="15.75">
      <c r="B37" s="25"/>
      <c r="C37" s="26" t="s">
        <v>30</v>
      </c>
      <c r="D37" s="28">
        <f>+'GTL SEPT 08 '!I34+'GTL SEPT 08 '!I36+'GTL SEPT 08 '!I38+'GTL SEPT 08 '!I40+'GTL SEPT 08 '!I44+'GTL SEPT 08 '!I46+'GTL SEPT 08 '!I60-4.23</f>
        <v>3004.48</v>
      </c>
      <c r="E37" s="28" t="e">
        <f>+#REF!+#REF!+#REF!+#REF!+#REF!+#REF!+#REF!</f>
        <v>#REF!</v>
      </c>
      <c r="F37" s="29">
        <v>4751.05</v>
      </c>
      <c r="G37" s="32"/>
      <c r="I37" s="1">
        <v>544.79</v>
      </c>
    </row>
    <row r="38" spans="2:9" ht="15.75">
      <c r="B38" s="25"/>
      <c r="C38" s="15" t="s">
        <v>31</v>
      </c>
      <c r="D38" s="31">
        <f>SUM(D31:D37)</f>
        <v>13786.02</v>
      </c>
      <c r="E38" s="31" t="e">
        <f>SUM(E31:E37)</f>
        <v>#REF!</v>
      </c>
      <c r="F38" s="31">
        <f>SUM(F31:F37)</f>
        <v>33039.84</v>
      </c>
      <c r="I38" s="1">
        <f>+I36-I37</f>
        <v>66.71500000000003</v>
      </c>
    </row>
    <row r="39" spans="2:6" ht="15.75">
      <c r="B39" s="25"/>
      <c r="C39" s="26"/>
      <c r="D39" s="28"/>
      <c r="E39" s="28"/>
      <c r="F39" s="29"/>
    </row>
    <row r="40" spans="2:6" ht="15.75">
      <c r="B40" s="25">
        <v>5</v>
      </c>
      <c r="C40" s="26" t="s">
        <v>32</v>
      </c>
      <c r="D40" s="28">
        <f>+'GTL SEPT 08 '!I67</f>
        <v>744.4399999999999</v>
      </c>
      <c r="E40" s="28" t="e">
        <f>+#REF!</f>
        <v>#REF!</v>
      </c>
      <c r="F40" s="29">
        <v>1480.76</v>
      </c>
    </row>
    <row r="41" spans="2:6" ht="15.75">
      <c r="B41" s="25">
        <v>6</v>
      </c>
      <c r="C41" s="15" t="s">
        <v>33</v>
      </c>
      <c r="D41" s="34">
        <f>+D29-D38-D40</f>
        <v>-763.200000000002</v>
      </c>
      <c r="E41" s="34" t="e">
        <f>+E29-E38-E40</f>
        <v>#REF!</v>
      </c>
      <c r="F41" s="34">
        <f>+F29-F38-F40</f>
        <v>-342.80000000000086</v>
      </c>
    </row>
    <row r="42" spans="2:8" ht="15.75">
      <c r="B42" s="25">
        <v>7</v>
      </c>
      <c r="C42" s="26" t="s">
        <v>34</v>
      </c>
      <c r="D42" s="28"/>
      <c r="E42" s="28"/>
      <c r="F42" s="29"/>
      <c r="H42" s="52"/>
    </row>
    <row r="43" spans="2:6" ht="15.75">
      <c r="B43" s="25"/>
      <c r="C43" s="26" t="s">
        <v>35</v>
      </c>
      <c r="D43" s="28">
        <v>0</v>
      </c>
      <c r="E43" s="28">
        <v>0</v>
      </c>
      <c r="F43" s="29">
        <v>0</v>
      </c>
    </row>
    <row r="44" spans="2:6" ht="15.75">
      <c r="B44" s="25"/>
      <c r="C44" s="26" t="s">
        <v>36</v>
      </c>
      <c r="D44" s="28">
        <v>0</v>
      </c>
      <c r="E44" s="28">
        <v>0</v>
      </c>
      <c r="F44" s="29">
        <v>0</v>
      </c>
    </row>
    <row r="45" spans="2:6" ht="15.75">
      <c r="B45" s="25"/>
      <c r="C45" s="26" t="s">
        <v>37</v>
      </c>
      <c r="D45" s="28">
        <v>129.83</v>
      </c>
      <c r="E45" s="28">
        <f>227.59/2</f>
        <v>113.795</v>
      </c>
      <c r="F45" s="29">
        <v>227.59</v>
      </c>
    </row>
    <row r="46" spans="2:6" ht="15.75">
      <c r="B46" s="25"/>
      <c r="C46" s="26" t="s">
        <v>38</v>
      </c>
      <c r="D46" s="28">
        <f>15.5+1.16</f>
        <v>16.66</v>
      </c>
      <c r="E46" s="28">
        <v>8.97</v>
      </c>
      <c r="F46" s="29">
        <v>23.14</v>
      </c>
    </row>
    <row r="47" spans="2:6" ht="15.75">
      <c r="B47" s="25"/>
      <c r="C47" s="15" t="s">
        <v>39</v>
      </c>
      <c r="D47" s="34">
        <f>SUM(D43:D46)</f>
        <v>146.49</v>
      </c>
      <c r="E47" s="34">
        <f>SUM(E43:E46)</f>
        <v>122.765</v>
      </c>
      <c r="F47" s="34">
        <f>SUM(F43:F46)</f>
        <v>250.73000000000002</v>
      </c>
    </row>
    <row r="48" spans="2:6" ht="15.75">
      <c r="B48" s="25">
        <v>8</v>
      </c>
      <c r="C48" s="15" t="s">
        <v>40</v>
      </c>
      <c r="D48" s="34">
        <f>D41-D47</f>
        <v>-909.690000000002</v>
      </c>
      <c r="E48" s="34" t="e">
        <f>E41-E47</f>
        <v>#REF!</v>
      </c>
      <c r="F48" s="34">
        <f>F41-F47</f>
        <v>-593.5300000000009</v>
      </c>
    </row>
    <row r="49" spans="2:6" ht="15.75">
      <c r="B49" s="25">
        <v>9</v>
      </c>
      <c r="C49" s="15" t="s">
        <v>41</v>
      </c>
      <c r="D49" s="34">
        <v>649.93</v>
      </c>
      <c r="E49" s="34">
        <v>649.93</v>
      </c>
      <c r="F49" s="34">
        <v>649.93</v>
      </c>
    </row>
    <row r="50" spans="2:6" ht="15.75">
      <c r="B50" s="25"/>
      <c r="C50" s="26" t="s">
        <v>42</v>
      </c>
      <c r="D50" s="28"/>
      <c r="E50" s="28"/>
      <c r="F50" s="29"/>
    </row>
    <row r="51" spans="2:6" ht="15.75">
      <c r="B51" s="25">
        <v>10</v>
      </c>
      <c r="C51" s="15" t="s">
        <v>43</v>
      </c>
      <c r="D51" s="33">
        <f>+F51+D48</f>
        <v>6946.809999999998</v>
      </c>
      <c r="E51" s="33" t="e">
        <f>9934.09-1638.36+E48</f>
        <v>#REF!</v>
      </c>
      <c r="F51" s="34">
        <v>7856.5</v>
      </c>
    </row>
    <row r="52" spans="2:6" ht="15.75">
      <c r="B52" s="25">
        <v>11</v>
      </c>
      <c r="C52" s="15" t="s">
        <v>44</v>
      </c>
      <c r="D52" s="34">
        <f>+D48/(D49)*10</f>
        <v>-13.996738110258061</v>
      </c>
      <c r="E52" s="34" t="e">
        <f>+E48/(E49)*10</f>
        <v>#REF!</v>
      </c>
      <c r="F52" s="34">
        <f>+F48/(F49-5)*10</f>
        <v>-9.203014280619616</v>
      </c>
    </row>
    <row r="53" spans="2:6" ht="15.75">
      <c r="B53" s="25"/>
      <c r="C53" s="15" t="s">
        <v>45</v>
      </c>
      <c r="D53" s="28"/>
      <c r="E53" s="28"/>
      <c r="F53" s="29"/>
    </row>
    <row r="54" spans="2:6" ht="15.75">
      <c r="B54" s="25">
        <v>12</v>
      </c>
      <c r="C54" s="15" t="s">
        <v>46</v>
      </c>
      <c r="D54" s="28"/>
      <c r="E54" s="28"/>
      <c r="F54" s="29"/>
    </row>
    <row r="55" spans="2:6" ht="15.75">
      <c r="B55" s="25"/>
      <c r="C55" s="26"/>
      <c r="D55" s="28"/>
      <c r="E55" s="28"/>
      <c r="F55" s="29"/>
    </row>
    <row r="56" spans="2:6" ht="15.75">
      <c r="B56" s="25"/>
      <c r="C56" s="35" t="s">
        <v>47</v>
      </c>
      <c r="D56" s="37">
        <v>1718463</v>
      </c>
      <c r="E56" s="37">
        <v>1718463</v>
      </c>
      <c r="F56" s="37">
        <v>1718463</v>
      </c>
    </row>
    <row r="57" spans="2:6" ht="15.75">
      <c r="B57" s="25"/>
      <c r="C57" s="35" t="s">
        <v>48</v>
      </c>
      <c r="D57" s="39">
        <v>0.2644</v>
      </c>
      <c r="E57" s="39">
        <v>0.2644</v>
      </c>
      <c r="F57" s="39">
        <v>0.2644</v>
      </c>
    </row>
    <row r="58" spans="2:6" ht="16.5" thickBot="1">
      <c r="B58" s="40"/>
      <c r="C58" s="41"/>
      <c r="D58" s="42"/>
      <c r="E58" s="42"/>
      <c r="F58" s="43"/>
    </row>
    <row r="59" spans="2:11" ht="3.75" customHeight="1">
      <c r="B59" s="6"/>
      <c r="C59" s="6"/>
      <c r="D59" s="6"/>
      <c r="E59" s="6"/>
      <c r="F59" s="6"/>
      <c r="G59" s="6"/>
      <c r="H59" s="6"/>
      <c r="I59" s="6"/>
      <c r="J59" s="2"/>
      <c r="K59" s="2"/>
    </row>
    <row r="60" spans="2:11" ht="15">
      <c r="B60" s="44" t="s">
        <v>49</v>
      </c>
      <c r="C60" s="45"/>
      <c r="D60" s="45"/>
      <c r="E60" s="45"/>
      <c r="F60" s="45"/>
      <c r="G60" s="45"/>
      <c r="H60" s="45"/>
      <c r="I60" s="45"/>
      <c r="J60" s="2"/>
      <c r="K60" s="2"/>
    </row>
    <row r="61" spans="2:11" ht="2.25" customHeight="1">
      <c r="B61" s="45"/>
      <c r="C61" s="45"/>
      <c r="D61" s="45"/>
      <c r="E61" s="45"/>
      <c r="F61" s="45"/>
      <c r="G61" s="45"/>
      <c r="H61" s="45"/>
      <c r="I61" s="45"/>
      <c r="J61" s="2"/>
      <c r="K61" s="2"/>
    </row>
    <row r="62" spans="2:11" ht="111" customHeight="1">
      <c r="B62" s="46" t="s">
        <v>50</v>
      </c>
      <c r="C62" s="280" t="s">
        <v>90</v>
      </c>
      <c r="D62" s="280"/>
      <c r="E62" s="280"/>
      <c r="F62" s="280"/>
      <c r="G62" s="280"/>
      <c r="H62" s="280"/>
      <c r="I62" s="280"/>
      <c r="J62" s="280"/>
      <c r="K62" s="2"/>
    </row>
    <row r="63" spans="2:11" ht="17.25" customHeight="1">
      <c r="B63" s="46" t="s">
        <v>51</v>
      </c>
      <c r="C63" s="137" t="s">
        <v>148</v>
      </c>
      <c r="D63" s="136"/>
      <c r="E63" s="136"/>
      <c r="F63" s="136"/>
      <c r="G63" s="136"/>
      <c r="H63" s="136"/>
      <c r="I63" s="136"/>
      <c r="J63" s="136"/>
      <c r="K63" s="2"/>
    </row>
    <row r="64" spans="2:11" ht="17.25" customHeight="1">
      <c r="B64" s="46"/>
      <c r="C64" s="137" t="s">
        <v>149</v>
      </c>
      <c r="D64" s="136"/>
      <c r="E64" s="136"/>
      <c r="F64" s="136"/>
      <c r="G64" s="136"/>
      <c r="H64" s="136"/>
      <c r="I64" s="136"/>
      <c r="J64" s="136"/>
      <c r="K64" s="2"/>
    </row>
    <row r="65" spans="2:11" ht="10.5" customHeight="1">
      <c r="B65" s="46"/>
      <c r="C65" s="47"/>
      <c r="D65" s="47"/>
      <c r="E65" s="47"/>
      <c r="F65" s="47"/>
      <c r="G65" s="47"/>
      <c r="H65" s="47"/>
      <c r="I65" s="47"/>
      <c r="J65" s="48"/>
      <c r="K65" s="2"/>
    </row>
    <row r="66" spans="2:11" ht="15" customHeight="1">
      <c r="B66" s="46" t="s">
        <v>52</v>
      </c>
      <c r="C66" s="280" t="s">
        <v>53</v>
      </c>
      <c r="D66" s="280"/>
      <c r="E66" s="280"/>
      <c r="F66" s="280"/>
      <c r="G66" s="280"/>
      <c r="H66" s="280"/>
      <c r="I66" s="280"/>
      <c r="J66" s="280"/>
      <c r="K66" s="2"/>
    </row>
    <row r="67" spans="2:11" ht="12" customHeight="1">
      <c r="B67" s="46"/>
      <c r="C67" s="280"/>
      <c r="D67" s="280"/>
      <c r="E67" s="280"/>
      <c r="F67" s="280"/>
      <c r="G67" s="280"/>
      <c r="H67" s="280"/>
      <c r="I67" s="280"/>
      <c r="J67" s="49"/>
      <c r="K67" s="2"/>
    </row>
    <row r="68" spans="2:11" ht="15">
      <c r="B68" s="46" t="s">
        <v>54</v>
      </c>
      <c r="C68" s="280" t="s">
        <v>91</v>
      </c>
      <c r="D68" s="280"/>
      <c r="E68" s="280"/>
      <c r="F68" s="280"/>
      <c r="G68" s="280"/>
      <c r="H68" s="280"/>
      <c r="I68" s="280"/>
      <c r="J68" s="280"/>
      <c r="K68" s="2"/>
    </row>
    <row r="69" spans="2:11" ht="15.75" customHeight="1">
      <c r="B69" s="45"/>
      <c r="C69" s="50"/>
      <c r="D69" s="50"/>
      <c r="E69" s="50"/>
      <c r="F69" s="50"/>
      <c r="G69" s="50"/>
      <c r="H69" s="50"/>
      <c r="I69" s="50"/>
      <c r="J69" s="49"/>
      <c r="K69" s="2"/>
    </row>
    <row r="70" spans="2:11" ht="17.25" customHeight="1">
      <c r="B70" s="46" t="s">
        <v>55</v>
      </c>
      <c r="C70" s="46" t="s">
        <v>150</v>
      </c>
      <c r="D70" s="46"/>
      <c r="E70" s="46"/>
      <c r="F70" s="46"/>
      <c r="G70" s="136"/>
      <c r="H70" s="136"/>
      <c r="I70" s="136"/>
      <c r="J70" s="136"/>
      <c r="K70" s="2"/>
    </row>
    <row r="71" spans="2:11" ht="17.25" customHeight="1">
      <c r="B71" s="46"/>
      <c r="C71" s="47" t="s">
        <v>151</v>
      </c>
      <c r="D71" s="136"/>
      <c r="E71" s="136"/>
      <c r="F71" s="136"/>
      <c r="G71" s="136"/>
      <c r="H71" s="136"/>
      <c r="I71" s="136"/>
      <c r="J71" s="136"/>
      <c r="K71" s="2"/>
    </row>
    <row r="72" spans="2:11" ht="17.25" customHeight="1">
      <c r="B72" s="46"/>
      <c r="C72" s="136"/>
      <c r="D72" s="136"/>
      <c r="E72" s="136"/>
      <c r="F72" s="136"/>
      <c r="G72" s="136"/>
      <c r="H72" s="136"/>
      <c r="I72" s="136"/>
      <c r="J72" s="136"/>
      <c r="K72" s="2"/>
    </row>
    <row r="73" spans="2:11" ht="15">
      <c r="B73" s="6"/>
      <c r="C73" s="6"/>
      <c r="D73" s="6" t="s">
        <v>56</v>
      </c>
      <c r="E73" s="6"/>
      <c r="F73" s="6"/>
      <c r="G73" s="6"/>
      <c r="H73" s="6"/>
      <c r="I73" s="6"/>
      <c r="J73" s="2"/>
      <c r="K73" s="2"/>
    </row>
    <row r="74" spans="2:11" ht="15">
      <c r="B74" s="6"/>
      <c r="C74" s="6"/>
      <c r="D74" s="6"/>
      <c r="E74" s="6"/>
      <c r="F74" s="6"/>
      <c r="G74" s="6"/>
      <c r="H74" s="6"/>
      <c r="I74" s="6"/>
      <c r="J74" s="2"/>
      <c r="K74" s="2"/>
    </row>
    <row r="75" spans="2:11" ht="15">
      <c r="B75" s="6"/>
      <c r="C75" s="6"/>
      <c r="D75" s="6"/>
      <c r="E75" s="6"/>
      <c r="F75" s="6"/>
      <c r="G75" s="6"/>
      <c r="H75" s="6"/>
      <c r="I75" s="6"/>
      <c r="J75" s="2"/>
      <c r="K75" s="2"/>
    </row>
    <row r="76" spans="2:11" ht="15">
      <c r="B76" s="6"/>
      <c r="C76" s="6"/>
      <c r="D76" s="279" t="s">
        <v>57</v>
      </c>
      <c r="E76" s="279"/>
      <c r="F76" s="279"/>
      <c r="G76" s="279"/>
      <c r="H76" s="279"/>
      <c r="I76" s="279"/>
      <c r="J76" s="2"/>
      <c r="K76" s="2"/>
    </row>
    <row r="77" spans="2:11" ht="15">
      <c r="B77" s="6"/>
      <c r="C77" s="6" t="s">
        <v>92</v>
      </c>
      <c r="D77" s="279" t="s">
        <v>58</v>
      </c>
      <c r="E77" s="279"/>
      <c r="F77" s="279"/>
      <c r="G77" s="279"/>
      <c r="H77" s="279"/>
      <c r="I77" s="279"/>
      <c r="J77" s="2"/>
      <c r="K77" s="2"/>
    </row>
    <row r="78" spans="1:10" ht="15">
      <c r="A78" s="51"/>
      <c r="B78" s="6"/>
      <c r="C78" s="6"/>
      <c r="D78" s="6"/>
      <c r="E78" s="6"/>
      <c r="F78" s="6"/>
      <c r="G78" s="6"/>
      <c r="H78" s="6"/>
      <c r="I78" s="6"/>
      <c r="J78" s="51"/>
    </row>
  </sheetData>
  <sheetProtection/>
  <mergeCells count="9">
    <mergeCell ref="B3:J3"/>
    <mergeCell ref="C67:I67"/>
    <mergeCell ref="B4:J4"/>
    <mergeCell ref="C62:F62"/>
    <mergeCell ref="G62:J62"/>
    <mergeCell ref="D77:I77"/>
    <mergeCell ref="C66:J66"/>
    <mergeCell ref="D76:I76"/>
    <mergeCell ref="C68:J68"/>
  </mergeCells>
  <printOptions/>
  <pageMargins left="0.5" right="0.25" top="0.25" bottom="0.25" header="0.25" footer="0.25"/>
  <pageSetup fitToHeight="1" fitToWidth="1"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dimension ref="B1:L71"/>
  <sheetViews>
    <sheetView zoomScalePageLayoutView="0" workbookViewId="0" topLeftCell="A1">
      <selection activeCell="K26" sqref="K26"/>
    </sheetView>
  </sheetViews>
  <sheetFormatPr defaultColWidth="10.28125" defaultRowHeight="12.75"/>
  <cols>
    <col min="1" max="1" width="9.140625" style="84" customWidth="1"/>
    <col min="2" max="2" width="36.421875" style="84" customWidth="1"/>
    <col min="3" max="3" width="15.8515625" style="84" hidden="1" customWidth="1"/>
    <col min="4" max="4" width="10.421875" style="84" hidden="1" customWidth="1"/>
    <col min="5" max="5" width="13.57421875" style="84" customWidth="1"/>
    <col min="6" max="6" width="11.140625" style="84" customWidth="1"/>
    <col min="7" max="7" width="13.00390625" style="84" customWidth="1"/>
    <col min="8" max="8" width="11.57421875" style="84" customWidth="1"/>
    <col min="9" max="9" width="6.8515625" style="84" customWidth="1"/>
    <col min="10" max="10" width="19.421875" style="84" customWidth="1"/>
    <col min="11" max="16384" width="10.28125" style="84" customWidth="1"/>
  </cols>
  <sheetData>
    <row r="1" spans="2:6" ht="12.75">
      <c r="B1" s="85" t="s">
        <v>64</v>
      </c>
      <c r="C1" s="86"/>
      <c r="D1" s="86"/>
      <c r="E1" s="86"/>
      <c r="F1" s="86"/>
    </row>
    <row r="2" spans="2:6" ht="12.75">
      <c r="B2" s="85"/>
      <c r="C2" s="86"/>
      <c r="D2" s="86"/>
      <c r="E2" s="86"/>
      <c r="F2" s="86"/>
    </row>
    <row r="3" spans="2:6" ht="12.75">
      <c r="B3" s="85" t="s">
        <v>163</v>
      </c>
      <c r="D3" s="86"/>
      <c r="E3" s="86"/>
      <c r="F3" s="86"/>
    </row>
    <row r="4" spans="2:6" ht="12.75">
      <c r="B4" s="87"/>
      <c r="C4" s="87"/>
      <c r="D4" s="87"/>
      <c r="E4" s="86"/>
      <c r="F4" s="86"/>
    </row>
    <row r="5" spans="2:8" ht="12.75">
      <c r="B5" s="88"/>
      <c r="C5" s="281" t="s">
        <v>95</v>
      </c>
      <c r="D5" s="282"/>
      <c r="E5" s="283" t="s">
        <v>96</v>
      </c>
      <c r="F5" s="284"/>
      <c r="G5" s="283" t="s">
        <v>96</v>
      </c>
      <c r="H5" s="284"/>
    </row>
    <row r="6" spans="2:8" ht="12.75">
      <c r="B6" s="89"/>
      <c r="C6" s="90" t="s">
        <v>97</v>
      </c>
      <c r="D6" s="91"/>
      <c r="E6" s="92" t="s">
        <v>164</v>
      </c>
      <c r="F6" s="93"/>
      <c r="G6" s="92" t="s">
        <v>165</v>
      </c>
      <c r="H6" s="93"/>
    </row>
    <row r="7" spans="2:8" ht="12.75">
      <c r="B7" s="90" t="s">
        <v>12</v>
      </c>
      <c r="C7" s="94" t="s">
        <v>99</v>
      </c>
      <c r="D7" s="95" t="s">
        <v>100</v>
      </c>
      <c r="E7" s="94" t="s">
        <v>99</v>
      </c>
      <c r="F7" s="96" t="s">
        <v>100</v>
      </c>
      <c r="G7" s="94" t="s">
        <v>99</v>
      </c>
      <c r="H7" s="96" t="s">
        <v>100</v>
      </c>
    </row>
    <row r="8" spans="2:8" ht="12.75">
      <c r="B8" s="98"/>
      <c r="C8" s="99" t="s">
        <v>101</v>
      </c>
      <c r="D8" s="100"/>
      <c r="E8" s="99" t="s">
        <v>101</v>
      </c>
      <c r="F8" s="101"/>
      <c r="G8" s="99" t="s">
        <v>101</v>
      </c>
      <c r="H8" s="101"/>
    </row>
    <row r="9" spans="2:8" ht="12.75">
      <c r="B9" s="89"/>
      <c r="C9" s="89"/>
      <c r="D9" s="103"/>
      <c r="E9" s="88"/>
      <c r="F9" s="104"/>
      <c r="G9" s="89"/>
      <c r="H9" s="105"/>
    </row>
    <row r="10" spans="2:12" ht="12.75">
      <c r="B10" s="90" t="s">
        <v>102</v>
      </c>
      <c r="C10" s="106">
        <v>19512.38</v>
      </c>
      <c r="D10" s="107">
        <f>C10/$C$22*100</f>
        <v>98.98540916926318</v>
      </c>
      <c r="E10" s="106">
        <f>+'GMD DEC 07 VS DEC 08'!E10+'FCKD DEC 07 VS DEC 08'!P10</f>
        <v>25140.75707</v>
      </c>
      <c r="F10" s="108">
        <f>E10/$E$22*100</f>
        <v>95.72338765951999</v>
      </c>
      <c r="G10" s="106">
        <f>+'GMD DEC 07 VS DEC 08'!G10+'FCKD DEC 07 VS DEC 08'!R10</f>
        <v>20668.26</v>
      </c>
      <c r="H10" s="108">
        <f>+G10/$G$22*100</f>
        <v>94.61483211205683</v>
      </c>
      <c r="J10" s="133"/>
      <c r="L10" s="1"/>
    </row>
    <row r="11" spans="2:12" ht="12.75">
      <c r="B11" s="90"/>
      <c r="C11" s="106"/>
      <c r="D11" s="107"/>
      <c r="E11" s="106"/>
      <c r="F11" s="108"/>
      <c r="G11" s="106"/>
      <c r="H11" s="108"/>
      <c r="L11" s="1"/>
    </row>
    <row r="12" spans="2:12" ht="12.75">
      <c r="B12" s="90" t="s">
        <v>103</v>
      </c>
      <c r="C12" s="106">
        <v>0</v>
      </c>
      <c r="D12" s="107">
        <f>C12/$C$22*100</f>
        <v>0</v>
      </c>
      <c r="E12" s="106">
        <f>+'GMD DEC 07 VS DEC 08'!E12+'FCKD DEC 07 VS DEC 08'!P12</f>
        <v>176.35</v>
      </c>
      <c r="F12" s="108">
        <f>E12/$E$22*100</f>
        <v>0.6714523101573547</v>
      </c>
      <c r="G12" s="106">
        <f>+'GMD DEC 07 VS DEC 08'!G12+'FCKD DEC 07 VS DEC 08'!R12</f>
        <v>318.07000000000005</v>
      </c>
      <c r="H12" s="108">
        <f>+G12/$G$22*100</f>
        <v>1.4560557903704485</v>
      </c>
      <c r="J12" s="133"/>
      <c r="L12" s="1"/>
    </row>
    <row r="13" spans="2:12" ht="12.75">
      <c r="B13" s="90"/>
      <c r="C13" s="106"/>
      <c r="D13" s="107"/>
      <c r="E13" s="106"/>
      <c r="F13" s="108"/>
      <c r="G13" s="106"/>
      <c r="H13" s="108"/>
      <c r="J13" s="133"/>
      <c r="L13" s="1"/>
    </row>
    <row r="14" spans="2:12" ht="12.75">
      <c r="B14" s="90" t="s">
        <v>104</v>
      </c>
      <c r="C14" s="106">
        <v>0</v>
      </c>
      <c r="D14" s="107">
        <f>C14/$C$22*100</f>
        <v>0</v>
      </c>
      <c r="E14" s="106">
        <f>+'GMD DEC 07 VS DEC 08'!E14+'FCKD DEC 07 VS DEC 08'!P14</f>
        <v>55.92</v>
      </c>
      <c r="F14" s="108">
        <f>E14/$E$22*100</f>
        <v>0.21291530016444163</v>
      </c>
      <c r="G14" s="106">
        <f>+'GMD DEC 07 VS DEC 08'!G14+'FCKD DEC 07 VS DEC 08'!R14</f>
        <v>70.28</v>
      </c>
      <c r="H14" s="108">
        <f>+G14/$G$22*100</f>
        <v>0.32172666691997076</v>
      </c>
      <c r="J14" s="133"/>
      <c r="L14" s="1"/>
    </row>
    <row r="15" spans="2:8" ht="12.75">
      <c r="B15" s="90"/>
      <c r="C15" s="106"/>
      <c r="D15" s="107"/>
      <c r="E15" s="106"/>
      <c r="F15" s="108"/>
      <c r="G15" s="106"/>
      <c r="H15" s="108"/>
    </row>
    <row r="16" spans="2:8" ht="12.75">
      <c r="B16" s="90" t="s">
        <v>105</v>
      </c>
      <c r="C16" s="106">
        <v>200</v>
      </c>
      <c r="D16" s="107">
        <f>C16/$C$22*100</f>
        <v>1.0145908307368263</v>
      </c>
      <c r="E16" s="106">
        <f>+'GMD DEC 07 VS DEC 08'!E16+'FCKD DEC 07 VS DEC 08'!P16</f>
        <v>773.00998</v>
      </c>
      <c r="F16" s="108">
        <f>E16/$E$22*100</f>
        <v>2.943234118773409</v>
      </c>
      <c r="G16" s="106">
        <f>+'GMD DEC 07 VS DEC 08'!G16+'FCKD DEC 07 VS DEC 08'!R16</f>
        <v>665.44</v>
      </c>
      <c r="H16" s="108">
        <f>+G16/$G$22*100</f>
        <v>3.0462406550259726</v>
      </c>
    </row>
    <row r="17" spans="2:8" ht="12.75">
      <c r="B17" s="90"/>
      <c r="C17" s="106"/>
      <c r="D17" s="107"/>
      <c r="E17" s="106"/>
      <c r="F17" s="108"/>
      <c r="G17" s="106"/>
      <c r="H17" s="108"/>
    </row>
    <row r="18" spans="2:8" ht="12.75">
      <c r="B18" s="109" t="s">
        <v>106</v>
      </c>
      <c r="C18" s="106">
        <v>0</v>
      </c>
      <c r="D18" s="107">
        <f>C18/$C$22*100</f>
        <v>0</v>
      </c>
      <c r="E18" s="106">
        <f>+'GMD DEC 07 VS DEC 08'!E18+'FCKD DEC 07 VS DEC 08'!P18</f>
        <v>12.92799</v>
      </c>
      <c r="F18" s="108">
        <f>E18/$E$22*100</f>
        <v>0.04922329884429362</v>
      </c>
      <c r="G18" s="106">
        <f>+'GMD DEC 07 VS DEC 08'!G18+'FCKD DEC 07 VS DEC 08'!R18</f>
        <v>30.4</v>
      </c>
      <c r="H18" s="108">
        <f>+G18/$G$22*100</f>
        <v>0.139164636800898</v>
      </c>
    </row>
    <row r="19" spans="2:8" ht="12.75">
      <c r="B19" s="90"/>
      <c r="C19" s="106"/>
      <c r="D19" s="107"/>
      <c r="E19" s="106"/>
      <c r="F19" s="108"/>
      <c r="G19" s="106"/>
      <c r="H19" s="108"/>
    </row>
    <row r="20" spans="2:8" ht="12.75">
      <c r="B20" s="90" t="s">
        <v>107</v>
      </c>
      <c r="C20" s="106">
        <v>0</v>
      </c>
      <c r="D20" s="107">
        <f>C20/$C$22*100</f>
        <v>0</v>
      </c>
      <c r="E20" s="106">
        <f>+'GMD DEC 07 VS DEC 08'!E20+'FCKD DEC 07 VS DEC 08'!P20</f>
        <v>105</v>
      </c>
      <c r="F20" s="108">
        <f>E20/$E$22*100</f>
        <v>0.39978731254052874</v>
      </c>
      <c r="G20" s="106">
        <f>+'GMD DEC 07 VS DEC 08'!G20+'FCKD DEC 07 VS DEC 08'!R20</f>
        <v>92.17999999999999</v>
      </c>
      <c r="H20" s="108">
        <f>+G20/$G$22*100</f>
        <v>0.4219801388258808</v>
      </c>
    </row>
    <row r="21" spans="2:8" ht="12.75">
      <c r="B21" s="89"/>
      <c r="C21" s="106"/>
      <c r="D21" s="107"/>
      <c r="E21" s="106"/>
      <c r="F21" s="108"/>
      <c r="G21" s="106"/>
      <c r="H21" s="108"/>
    </row>
    <row r="22" spans="2:8" ht="12.75">
      <c r="B22" s="92" t="s">
        <v>71</v>
      </c>
      <c r="C22" s="110">
        <f>SUM(C10:C20)</f>
        <v>19712.38</v>
      </c>
      <c r="D22" s="111">
        <f>C22/$C$22*100</f>
        <v>100</v>
      </c>
      <c r="E22" s="110">
        <f>SUM(E10:E20)</f>
        <v>26263.965039999995</v>
      </c>
      <c r="F22" s="112">
        <f>E22/$E$22*100</f>
        <v>100</v>
      </c>
      <c r="G22" s="110">
        <f>SUM(G10:G20)</f>
        <v>21844.629999999997</v>
      </c>
      <c r="H22" s="112">
        <v>100</v>
      </c>
    </row>
    <row r="23" spans="2:8" ht="12.75">
      <c r="B23" s="89"/>
      <c r="C23" s="106"/>
      <c r="D23" s="107"/>
      <c r="E23" s="106"/>
      <c r="F23" s="108"/>
      <c r="G23" s="106"/>
      <c r="H23" s="108"/>
    </row>
    <row r="24" spans="2:8" ht="12.75">
      <c r="B24" s="90" t="s">
        <v>108</v>
      </c>
      <c r="C24" s="106"/>
      <c r="D24" s="107"/>
      <c r="E24" s="106"/>
      <c r="F24" s="108"/>
      <c r="G24" s="106"/>
      <c r="H24" s="108"/>
    </row>
    <row r="25" spans="2:11" ht="12.75">
      <c r="B25" s="90"/>
      <c r="C25" s="106"/>
      <c r="D25" s="107"/>
      <c r="E25" s="106"/>
      <c r="F25" s="108"/>
      <c r="G25" s="106"/>
      <c r="H25" s="108"/>
      <c r="K25" s="133">
        <f>15139.66-976</f>
        <v>14163.66</v>
      </c>
    </row>
    <row r="26" spans="2:8" ht="12.75">
      <c r="B26" s="90" t="s">
        <v>109</v>
      </c>
      <c r="C26" s="106">
        <f>10584.98</f>
        <v>10584.98</v>
      </c>
      <c r="D26" s="107">
        <f>C26/$C$22*100</f>
        <v>53.697118257663455</v>
      </c>
      <c r="E26" s="106">
        <f>+'GMD DEC 07 VS DEC 08'!E26+'FCKD DEC 07 VS DEC 08'!P26</f>
        <v>14948.70751</v>
      </c>
      <c r="F26" s="108">
        <f>E26/$E$22*100</f>
        <v>56.91717715597447</v>
      </c>
      <c r="G26" s="106">
        <f>+'GMD DEC 07 VS DEC 08'!G26+'FCKD DEC 07 VS DEC 08'!R26</f>
        <v>11930.19</v>
      </c>
      <c r="H26" s="108">
        <f>+G26/$G$22*100</f>
        <v>54.613834155121886</v>
      </c>
    </row>
    <row r="27" spans="2:8" ht="12.75">
      <c r="B27" s="90"/>
      <c r="C27" s="106"/>
      <c r="D27" s="107"/>
      <c r="E27" s="106"/>
      <c r="F27" s="108"/>
      <c r="G27" s="106"/>
      <c r="H27" s="108"/>
    </row>
    <row r="28" spans="2:8" ht="12.75">
      <c r="B28" s="90" t="s">
        <v>110</v>
      </c>
      <c r="C28" s="106">
        <v>546.37</v>
      </c>
      <c r="D28" s="107">
        <f>C28/$C$22*100</f>
        <v>2.771709960948399</v>
      </c>
      <c r="E28" s="106">
        <f>+'GMD DEC 07 VS DEC 08'!E28+'FCKD DEC 07 VS DEC 08'!P28</f>
        <v>190.95</v>
      </c>
      <c r="F28" s="108">
        <f>E28/$E$22*100</f>
        <v>0.7270417840915616</v>
      </c>
      <c r="G28" s="106">
        <f>+'GMD DEC 07 VS DEC 08'!G28+'FCKD DEC 07 VS DEC 08'!R28</f>
        <v>11.57</v>
      </c>
      <c r="H28" s="108">
        <f>+G28/$G$22*100</f>
        <v>0.052964962098236514</v>
      </c>
    </row>
    <row r="29" spans="2:8" ht="12.75">
      <c r="B29" s="90"/>
      <c r="C29" s="106"/>
      <c r="D29" s="107"/>
      <c r="E29" s="106"/>
      <c r="F29" s="108"/>
      <c r="G29" s="106"/>
      <c r="H29" s="108"/>
    </row>
    <row r="30" spans="2:8" ht="12.75">
      <c r="B30" s="90" t="s">
        <v>111</v>
      </c>
      <c r="C30" s="106">
        <v>0</v>
      </c>
      <c r="D30" s="107">
        <f>C30/$C$22*100</f>
        <v>0</v>
      </c>
      <c r="E30" s="106">
        <f>+'GMD DEC 07 VS DEC 08'!E30+'FCKD DEC 07 VS DEC 08'!P30</f>
        <v>136.23000000000002</v>
      </c>
      <c r="F30" s="108">
        <f>E30/$E$22*100</f>
        <v>0.5186954817847261</v>
      </c>
      <c r="G30" s="106">
        <f>+'GMD DEC 07 VS DEC 08'!G30+'FCKD DEC 07 VS DEC 08'!R30</f>
        <v>293.26</v>
      </c>
      <c r="H30" s="108">
        <f>+G30/$G$22*100</f>
        <v>1.3424809667181363</v>
      </c>
    </row>
    <row r="31" spans="2:8" ht="12.75">
      <c r="B31" s="90"/>
      <c r="C31" s="106"/>
      <c r="D31" s="107"/>
      <c r="E31" s="106"/>
      <c r="F31" s="108"/>
      <c r="G31" s="106"/>
      <c r="H31" s="108"/>
    </row>
    <row r="32" spans="2:8" ht="12.75">
      <c r="B32" s="90" t="s">
        <v>112</v>
      </c>
      <c r="C32" s="106">
        <v>0</v>
      </c>
      <c r="D32" s="107">
        <f>C32/$C$22*100</f>
        <v>0</v>
      </c>
      <c r="E32" s="106">
        <f>+'GMD DEC 07 VS DEC 08'!E32+'FCKD DEC 07 VS DEC 08'!P32</f>
        <v>-2050.71574</v>
      </c>
      <c r="F32" s="108">
        <f>E32/$E$22*100</f>
        <v>-7.80809651884916</v>
      </c>
      <c r="G32" s="106">
        <f>+'GMD DEC 07 VS DEC 08'!G32+'FCKD DEC 07 VS DEC 08'!R32</f>
        <v>-811.42</v>
      </c>
      <c r="H32" s="108">
        <f>+G32/$G$22*100</f>
        <v>-3.7145055787166004</v>
      </c>
    </row>
    <row r="33" spans="2:8" ht="12.75">
      <c r="B33" s="90"/>
      <c r="C33" s="106"/>
      <c r="D33" s="107"/>
      <c r="E33" s="106"/>
      <c r="F33" s="108"/>
      <c r="G33" s="106"/>
      <c r="H33" s="108"/>
    </row>
    <row r="34" spans="2:8" ht="12.75">
      <c r="B34" s="90" t="s">
        <v>113</v>
      </c>
      <c r="C34" s="106">
        <v>540.18</v>
      </c>
      <c r="D34" s="107">
        <f>C34/$C$22*100</f>
        <v>2.7403083747370935</v>
      </c>
      <c r="E34" s="106">
        <f>+'GMD DEC 07 VS DEC 08'!E34+'FCKD DEC 07 VS DEC 08'!P34</f>
        <v>1185.86921</v>
      </c>
      <c r="F34" s="108">
        <f>E34/$E$22*100</f>
        <v>4.515194899909143</v>
      </c>
      <c r="G34" s="106">
        <f>+'GMD DEC 07 VS DEC 08'!G34+'FCKD DEC 07 VS DEC 08'!R34</f>
        <v>1242.31</v>
      </c>
      <c r="H34" s="108">
        <f>+G34/$G$22*100</f>
        <v>5.68702697184617</v>
      </c>
    </row>
    <row r="35" spans="2:8" ht="12.75">
      <c r="B35" s="90"/>
      <c r="C35" s="106"/>
      <c r="D35" s="107"/>
      <c r="E35" s="106"/>
      <c r="F35" s="108"/>
      <c r="G35" s="106"/>
      <c r="H35" s="108"/>
    </row>
    <row r="36" spans="2:8" ht="12.75">
      <c r="B36" s="90" t="s">
        <v>114</v>
      </c>
      <c r="C36" s="106">
        <v>437.4</v>
      </c>
      <c r="D36" s="107">
        <f>C36/$C$22*100</f>
        <v>2.218910146821439</v>
      </c>
      <c r="E36" s="106">
        <f>+'GMD DEC 07 VS DEC 08'!E36+'FCKD DEC 07 VS DEC 08'!P36</f>
        <v>721.9593600000001</v>
      </c>
      <c r="F36" s="108">
        <f>E36/$E$22*100</f>
        <v>2.7488589742655254</v>
      </c>
      <c r="G36" s="106">
        <f>+'GMD DEC 07 VS DEC 08'!G36+'FCKD DEC 07 VS DEC 08'!R36</f>
        <v>509.76</v>
      </c>
      <c r="H36" s="108">
        <f>+G36/$G$22*100</f>
        <v>2.3335712255140053</v>
      </c>
    </row>
    <row r="37" spans="2:8" ht="12.75">
      <c r="B37" s="90"/>
      <c r="C37" s="106"/>
      <c r="D37" s="107"/>
      <c r="E37" s="106"/>
      <c r="F37" s="108"/>
      <c r="G37" s="106"/>
      <c r="H37" s="108"/>
    </row>
    <row r="38" spans="2:8" ht="12.75">
      <c r="B38" s="90" t="s">
        <v>115</v>
      </c>
      <c r="C38" s="106">
        <v>121.75</v>
      </c>
      <c r="D38" s="107">
        <f>C38/$C$22*100</f>
        <v>0.617632168211043</v>
      </c>
      <c r="E38" s="106">
        <f>+'GMD DEC 07 VS DEC 08'!E38+'FCKD DEC 07 VS DEC 08'!P38</f>
        <v>275.0194699999999</v>
      </c>
      <c r="F38" s="108">
        <f>E38/$E$22*100</f>
        <v>1.0471361410249576</v>
      </c>
      <c r="G38" s="106">
        <f>+'GMD DEC 07 VS DEC 08'!G38+'FCKD DEC 07 VS DEC 08'!R38</f>
        <v>139.01999999999987</v>
      </c>
      <c r="H38" s="108">
        <f>+G38/$G$22*100</f>
        <v>0.6364035463177902</v>
      </c>
    </row>
    <row r="39" spans="2:8" ht="12.75">
      <c r="B39" s="90"/>
      <c r="C39" s="106"/>
      <c r="D39" s="107"/>
      <c r="E39" s="106"/>
      <c r="F39" s="108"/>
      <c r="G39" s="106"/>
      <c r="H39" s="108"/>
    </row>
    <row r="40" spans="2:8" ht="12.75">
      <c r="B40" s="90" t="s">
        <v>116</v>
      </c>
      <c r="C40" s="106">
        <v>21.4</v>
      </c>
      <c r="D40" s="107">
        <f>C40/$C$22*100</f>
        <v>0.10856121888884039</v>
      </c>
      <c r="E40" s="106">
        <f>+'GMD DEC 07 VS DEC 08'!E40+'FCKD DEC 07 VS DEC 08'!P40</f>
        <v>149.95562999999999</v>
      </c>
      <c r="F40" s="108">
        <f>E40/$E$22*100</f>
        <v>0.5709557935049704</v>
      </c>
      <c r="G40" s="106">
        <f>+'GMD DEC 07 VS DEC 08'!G40+'FCKD DEC 07 VS DEC 08'!R40</f>
        <v>149.93</v>
      </c>
      <c r="H40" s="108">
        <f>+G40/$G$22*100</f>
        <v>0.6863471709065342</v>
      </c>
    </row>
    <row r="41" spans="2:8" ht="12.75">
      <c r="B41" s="90"/>
      <c r="C41" s="106"/>
      <c r="D41" s="107"/>
      <c r="E41" s="106"/>
      <c r="F41" s="108"/>
      <c r="G41" s="106"/>
      <c r="H41" s="108"/>
    </row>
    <row r="42" spans="2:8" ht="12.75">
      <c r="B42" s="90" t="s">
        <v>117</v>
      </c>
      <c r="C42" s="106">
        <v>1942.93</v>
      </c>
      <c r="D42" s="107">
        <f>C42/$C$22*100</f>
        <v>9.85639481381751</v>
      </c>
      <c r="E42" s="106">
        <f>+'GMD DEC 07 VS DEC 08'!E42+'FCKD DEC 07 VS DEC 08'!P42</f>
        <v>3107.69</v>
      </c>
      <c r="F42" s="108">
        <f>E42/$E$22*100</f>
        <v>11.832524126753103</v>
      </c>
      <c r="G42" s="106">
        <f>+'GMD DEC 07 VS DEC 08'!G42+'FCKD DEC 07 VS DEC 08'!R42</f>
        <v>2051.93</v>
      </c>
      <c r="H42" s="108">
        <f>+G42/$G$22*100</f>
        <v>9.393292539173244</v>
      </c>
    </row>
    <row r="43" spans="2:8" ht="12.75">
      <c r="B43" s="90"/>
      <c r="C43" s="106"/>
      <c r="D43" s="107"/>
      <c r="E43" s="106"/>
      <c r="F43" s="108"/>
      <c r="G43" s="106"/>
      <c r="H43" s="108"/>
    </row>
    <row r="44" spans="2:8" ht="12.75">
      <c r="B44" s="90" t="s">
        <v>118</v>
      </c>
      <c r="C44" s="106">
        <v>457.57</v>
      </c>
      <c r="D44" s="107">
        <f>C44/$C$22*100</f>
        <v>2.321231632101248</v>
      </c>
      <c r="E44" s="106">
        <f>+'GMD DEC 07 VS DEC 08'!E44+'FCKD DEC 07 VS DEC 08'!P44</f>
        <v>627.7518699999999</v>
      </c>
      <c r="F44" s="108">
        <f>E44/$E$22*100</f>
        <v>2.3901641242818226</v>
      </c>
      <c r="G44" s="106">
        <f>+'GMD DEC 07 VS DEC 08'!G44+'FCKD DEC 07 VS DEC 08'!R44</f>
        <v>481.34000000000003</v>
      </c>
      <c r="H44" s="108">
        <f>+G44/$G$22*100</f>
        <v>2.203470601241587</v>
      </c>
    </row>
    <row r="45" spans="2:8" ht="12.75">
      <c r="B45" s="90"/>
      <c r="C45" s="106"/>
      <c r="D45" s="107"/>
      <c r="E45" s="106"/>
      <c r="F45" s="108"/>
      <c r="G45" s="106"/>
      <c r="H45" s="108"/>
    </row>
    <row r="46" spans="2:8" ht="12.75">
      <c r="B46" s="90" t="s">
        <v>119</v>
      </c>
      <c r="C46" s="106">
        <f>536.3+289.64</f>
        <v>825.9399999999999</v>
      </c>
      <c r="D46" s="107">
        <f>C46/$C$22*100</f>
        <v>4.189955753693871</v>
      </c>
      <c r="E46" s="106">
        <f>+'GMD DEC 07 VS DEC 08'!E46+'FCKD DEC 07 VS DEC 08'!P46</f>
        <v>1040.5688</v>
      </c>
      <c r="F46" s="108">
        <f>E46/$E$22*100</f>
        <v>3.961963848243076</v>
      </c>
      <c r="G46" s="106">
        <f>+'GMD DEC 07 VS DEC 08'!G46+'FCKD DEC 07 VS DEC 08'!R46</f>
        <v>1061.9</v>
      </c>
      <c r="H46" s="108">
        <f>+G46/$G$22*100</f>
        <v>4.861148941410316</v>
      </c>
    </row>
    <row r="47" spans="2:8" ht="12.75">
      <c r="B47" s="90"/>
      <c r="C47" s="106"/>
      <c r="D47" s="107"/>
      <c r="E47" s="106"/>
      <c r="F47" s="108"/>
      <c r="G47" s="106"/>
      <c r="H47" s="108"/>
    </row>
    <row r="48" spans="2:8" ht="12.75">
      <c r="B48" s="92" t="s">
        <v>120</v>
      </c>
      <c r="C48" s="110">
        <f>SUM(C26:C47)</f>
        <v>15478.52</v>
      </c>
      <c r="D48" s="111">
        <f>C48/$C$22*100</f>
        <v>78.52182232688291</v>
      </c>
      <c r="E48" s="110">
        <f>SUM(E26:E47)</f>
        <v>20333.98611</v>
      </c>
      <c r="F48" s="112">
        <f>E48/$E$22*100</f>
        <v>77.4216158109842</v>
      </c>
      <c r="G48" s="110">
        <f>SUM(G26:G47)</f>
        <v>17059.79</v>
      </c>
      <c r="H48" s="112">
        <f>+G48/$G$22*100</f>
        <v>78.0960355016313</v>
      </c>
    </row>
    <row r="49" spans="2:8" ht="12.75">
      <c r="B49" s="90"/>
      <c r="C49" s="106"/>
      <c r="D49" s="107"/>
      <c r="E49" s="106"/>
      <c r="F49" s="108"/>
      <c r="G49" s="106"/>
      <c r="H49" s="108"/>
    </row>
    <row r="50" spans="2:8" ht="12.75">
      <c r="B50" s="92" t="s">
        <v>121</v>
      </c>
      <c r="C50" s="110">
        <f>C22-C48</f>
        <v>4233.860000000001</v>
      </c>
      <c r="D50" s="111">
        <f>C50/$C$22*100</f>
        <v>21.4781776731171</v>
      </c>
      <c r="E50" s="110">
        <f>E22-E48</f>
        <v>5929.978929999994</v>
      </c>
      <c r="F50" s="112">
        <f>E50/$E$22*100</f>
        <v>22.57838418901579</v>
      </c>
      <c r="G50" s="110">
        <f>G22-G48</f>
        <v>4784.8399999999965</v>
      </c>
      <c r="H50" s="112">
        <f>+G50/$G$22*100</f>
        <v>21.903964498368694</v>
      </c>
    </row>
    <row r="51" spans="2:8" ht="12.75">
      <c r="B51" s="90"/>
      <c r="C51" s="106"/>
      <c r="D51" s="107"/>
      <c r="E51" s="106"/>
      <c r="F51" s="108"/>
      <c r="G51" s="106"/>
      <c r="H51" s="108"/>
    </row>
    <row r="52" spans="2:8" ht="12.75">
      <c r="B52" s="90" t="s">
        <v>122</v>
      </c>
      <c r="C52" s="106"/>
      <c r="D52" s="107"/>
      <c r="E52" s="106"/>
      <c r="F52" s="108"/>
      <c r="G52" s="106"/>
      <c r="H52" s="108"/>
    </row>
    <row r="53" spans="2:8" ht="12.75">
      <c r="B53" s="90"/>
      <c r="C53" s="106"/>
      <c r="D53" s="107"/>
      <c r="E53" s="106"/>
      <c r="F53" s="108"/>
      <c r="G53" s="106"/>
      <c r="H53" s="108"/>
    </row>
    <row r="54" spans="2:8" ht="12.75">
      <c r="B54" s="90" t="s">
        <v>123</v>
      </c>
      <c r="C54" s="106">
        <f>1108.26+280.56+183.18</f>
        <v>1572</v>
      </c>
      <c r="D54" s="107">
        <f>C54/$C$22*100</f>
        <v>7.974683929591454</v>
      </c>
      <c r="E54" s="106">
        <f>+'GMD DEC 07 VS DEC 08'!E54+'FCKD DEC 07 VS DEC 08'!P54</f>
        <v>2918.79</v>
      </c>
      <c r="F54" s="108">
        <f>E54/$E$22*100</f>
        <v>11.11328771400162</v>
      </c>
      <c r="G54" s="106">
        <f>+'GMD DEC 07 VS DEC 08'!G54+'FCKD DEC 07 VS DEC 08'!R54</f>
        <v>2909.46</v>
      </c>
      <c r="H54" s="108">
        <f>+G54/$G$22*100</f>
        <v>13.31887974298489</v>
      </c>
    </row>
    <row r="55" spans="2:8" ht="10.5" customHeight="1">
      <c r="B55" s="90"/>
      <c r="C55" s="106"/>
      <c r="D55" s="107"/>
      <c r="E55" s="106"/>
      <c r="F55" s="108"/>
      <c r="G55" s="106"/>
      <c r="H55" s="108"/>
    </row>
    <row r="56" spans="2:8" ht="14.25" customHeight="1">
      <c r="B56" s="90" t="s">
        <v>166</v>
      </c>
      <c r="C56" s="106"/>
      <c r="D56" s="107" t="e">
        <f>C56/#REF!*100</f>
        <v>#REF!</v>
      </c>
      <c r="E56" s="106">
        <f>+'GMD DEC 07 VS DEC 08'!E56+'FCKD DEC 07 VS DEC 08'!P56</f>
        <v>-156.01</v>
      </c>
      <c r="F56" s="108">
        <f>E56/$E$22*100</f>
        <v>-0.5940077964709323</v>
      </c>
      <c r="G56" s="106">
        <f>+'GMD DEC 07 VS DEC 08'!G56+'FCKD DEC 07 VS DEC 08'!R56</f>
        <v>279.02</v>
      </c>
      <c r="H56" s="108">
        <f>+G56/$G$22*100</f>
        <v>1.2772933210587682</v>
      </c>
    </row>
    <row r="57" spans="2:8" ht="13.5" customHeight="1">
      <c r="B57" s="90"/>
      <c r="C57" s="106"/>
      <c r="D57" s="107"/>
      <c r="E57" s="106"/>
      <c r="F57" s="108"/>
      <c r="G57" s="106"/>
      <c r="H57" s="108"/>
    </row>
    <row r="58" spans="2:8" ht="12.75">
      <c r="B58" s="90" t="s">
        <v>125</v>
      </c>
      <c r="C58" s="106">
        <f>109.78+325.22</f>
        <v>435</v>
      </c>
      <c r="D58" s="107">
        <f>C58/$C$22*100</f>
        <v>2.2067350568525974</v>
      </c>
      <c r="E58" s="106">
        <f>+'GMD DEC 07 VS DEC 08'!E58+'FCKD DEC 07 VS DEC 08'!P58</f>
        <v>692.4300000000001</v>
      </c>
      <c r="F58" s="108">
        <f>E58/$E$22*100</f>
        <v>2.636425988785127</v>
      </c>
      <c r="G58" s="106">
        <f>+'GMD DEC 07 VS DEC 08'!G58+'FCKD DEC 07 VS DEC 08'!R58</f>
        <v>848.048</v>
      </c>
      <c r="H58" s="108">
        <f>+G58/$G$22*100</f>
        <v>3.8821806549252615</v>
      </c>
    </row>
    <row r="59" spans="2:8" ht="12.75">
      <c r="B59" s="90"/>
      <c r="C59" s="106"/>
      <c r="D59" s="107"/>
      <c r="E59" s="106"/>
      <c r="F59" s="108"/>
      <c r="G59" s="106"/>
      <c r="H59" s="108"/>
    </row>
    <row r="60" spans="2:8" ht="12.75">
      <c r="B60" s="92" t="s">
        <v>126</v>
      </c>
      <c r="C60" s="110">
        <f>SUM(C52:C59)</f>
        <v>2007</v>
      </c>
      <c r="D60" s="111">
        <f>C60/$C$22*100</f>
        <v>10.181418986444053</v>
      </c>
      <c r="E60" s="110">
        <f>SUM(E52:E59)</f>
        <v>3455.21</v>
      </c>
      <c r="F60" s="112">
        <f>E60/$E$22*100</f>
        <v>13.155705906315815</v>
      </c>
      <c r="G60" s="110">
        <f>SUM(G52:G59)</f>
        <v>4036.5280000000002</v>
      </c>
      <c r="H60" s="112">
        <f>+G60/$G$22*100</f>
        <v>18.478353718968922</v>
      </c>
    </row>
    <row r="61" spans="2:8" ht="12.75">
      <c r="B61" s="90"/>
      <c r="C61" s="106"/>
      <c r="D61" s="107"/>
      <c r="E61" s="106"/>
      <c r="F61" s="108"/>
      <c r="G61" s="106"/>
      <c r="H61" s="108"/>
    </row>
    <row r="62" spans="2:8" ht="12.75">
      <c r="B62" s="90" t="s">
        <v>127</v>
      </c>
      <c r="C62" s="110">
        <f>C50-C60</f>
        <v>2226.8600000000006</v>
      </c>
      <c r="D62" s="111">
        <f>C62/$C$22*100</f>
        <v>11.296758686673048</v>
      </c>
      <c r="E62" s="110">
        <f>E50-E60</f>
        <v>2474.768929999994</v>
      </c>
      <c r="F62" s="112">
        <f>E62/$E$22*100</f>
        <v>9.422678282699977</v>
      </c>
      <c r="G62" s="110">
        <f>G50-G60</f>
        <v>748.3119999999963</v>
      </c>
      <c r="H62" s="112">
        <f>+G62/$G$22*100</f>
        <v>3.4256107793997717</v>
      </c>
    </row>
    <row r="63" spans="2:8" ht="12.75">
      <c r="B63" s="90" t="s">
        <v>128</v>
      </c>
      <c r="C63" s="106"/>
      <c r="D63" s="107"/>
      <c r="E63" s="106"/>
      <c r="F63" s="108"/>
      <c r="G63" s="106"/>
      <c r="H63" s="108"/>
    </row>
    <row r="64" spans="2:8" ht="12.75">
      <c r="B64" s="90"/>
      <c r="C64" s="106"/>
      <c r="D64" s="107"/>
      <c r="E64" s="106"/>
      <c r="F64" s="108"/>
      <c r="G64" s="106"/>
      <c r="H64" s="108"/>
    </row>
    <row r="65" spans="2:8" ht="12.75">
      <c r="B65" s="90" t="s">
        <v>128</v>
      </c>
      <c r="C65" s="106">
        <v>697.2</v>
      </c>
      <c r="D65" s="107">
        <f>C65/$C$22*100</f>
        <v>3.5368636359485763</v>
      </c>
      <c r="E65" s="106">
        <f>+'GMD DEC 07 VS DEC 08'!E65+'FCKD DEC 07 VS DEC 08'!P65</f>
        <v>947.93</v>
      </c>
      <c r="F65" s="108">
        <f>E65/$E$22*100</f>
        <v>3.609241782633747</v>
      </c>
      <c r="G65" s="106">
        <f>+'GMD DEC 07 VS DEC 08'!G65+'FCKD DEC 07 VS DEC 08'!R65</f>
        <v>1120.42</v>
      </c>
      <c r="H65" s="108">
        <f>+G65/$G$22*100</f>
        <v>5.129040867252044</v>
      </c>
    </row>
    <row r="66" spans="2:8" ht="12.75">
      <c r="B66" s="90"/>
      <c r="C66" s="106"/>
      <c r="D66" s="107"/>
      <c r="E66" s="106"/>
      <c r="F66" s="108"/>
      <c r="G66" s="106"/>
      <c r="H66" s="108"/>
    </row>
    <row r="67" spans="2:8" ht="12.75">
      <c r="B67" s="92" t="s">
        <v>129</v>
      </c>
      <c r="C67" s="110">
        <f>C62-C65</f>
        <v>1529.6600000000005</v>
      </c>
      <c r="D67" s="111">
        <f>C67/$C$22*100</f>
        <v>7.75989505072447</v>
      </c>
      <c r="E67" s="110">
        <f>E62-E65</f>
        <v>1526.838929999994</v>
      </c>
      <c r="F67" s="112">
        <f>E67/$E$22*100</f>
        <v>5.8134365000662305</v>
      </c>
      <c r="G67" s="110">
        <f>G62-G65</f>
        <v>-372.1080000000038</v>
      </c>
      <c r="H67" s="112">
        <f>+G67/$G$22*100</f>
        <v>-1.7034300878522726</v>
      </c>
    </row>
    <row r="68" spans="2:8" ht="12.75">
      <c r="B68" s="90"/>
      <c r="C68" s="106"/>
      <c r="D68" s="107"/>
      <c r="E68" s="106"/>
      <c r="F68" s="108"/>
      <c r="G68" s="106"/>
      <c r="H68" s="108"/>
    </row>
    <row r="69" spans="2:8" ht="12.75">
      <c r="B69" s="90" t="s">
        <v>77</v>
      </c>
      <c r="C69" s="106">
        <v>1006.68</v>
      </c>
      <c r="D69" s="107">
        <f>C69/$C$22*100</f>
        <v>5.106841487430741</v>
      </c>
      <c r="E69" s="106">
        <f>+'GMD DEC 07 VS DEC 08'!E69+'FCKD DEC 07 VS DEC 08'!P69</f>
        <v>917.2622175</v>
      </c>
      <c r="F69" s="108">
        <f>E69/$E$22*100</f>
        <v>3.492474255517057</v>
      </c>
      <c r="G69" s="106">
        <f>+'GMD DEC 07 VS DEC 08'!G69+'FCKD DEC 07 VS DEC 08'!R69</f>
        <v>925.9200000000001</v>
      </c>
      <c r="H69" s="108">
        <f>+G69/$G$22*100</f>
        <v>4.238661858772614</v>
      </c>
    </row>
    <row r="70" spans="2:8" ht="12.75">
      <c r="B70" s="89"/>
      <c r="C70" s="106"/>
      <c r="D70" s="107"/>
      <c r="E70" s="106"/>
      <c r="F70" s="108"/>
      <c r="G70" s="106"/>
      <c r="H70" s="108"/>
    </row>
    <row r="71" spans="2:8" ht="12.75">
      <c r="B71" s="92" t="s">
        <v>130</v>
      </c>
      <c r="C71" s="110">
        <f>C67-C69</f>
        <v>522.9800000000006</v>
      </c>
      <c r="D71" s="111">
        <f>C71/$C$22*100</f>
        <v>2.65305356329373</v>
      </c>
      <c r="E71" s="110">
        <f>E67-E69</f>
        <v>609.576712499994</v>
      </c>
      <c r="F71" s="112">
        <f>E71/$E$22*100</f>
        <v>2.320962244549173</v>
      </c>
      <c r="G71" s="110">
        <f>G67-G69</f>
        <v>-1298.0280000000039</v>
      </c>
      <c r="H71" s="112">
        <f>+G71/$G$22*100</f>
        <v>-5.9420919466248865</v>
      </c>
    </row>
  </sheetData>
  <sheetProtection/>
  <mergeCells count="3">
    <mergeCell ref="C5:D5"/>
    <mergeCell ref="E5:F5"/>
    <mergeCell ref="G5:H5"/>
  </mergeCells>
  <printOptions/>
  <pageMargins left="0.5" right="0.5" top="0.5" bottom="0.5"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Z92"/>
  <sheetViews>
    <sheetView tabSelected="1" zoomScale="85" zoomScaleNormal="85" workbookViewId="0" topLeftCell="A12">
      <selection activeCell="C84" sqref="C84:Q84"/>
    </sheetView>
  </sheetViews>
  <sheetFormatPr defaultColWidth="10.28125" defaultRowHeight="12.75"/>
  <cols>
    <col min="1" max="1" width="3.00390625" style="1" customWidth="1"/>
    <col min="2" max="2" width="7.140625" style="1" customWidth="1"/>
    <col min="3" max="3" width="84.140625" style="1" bestFit="1" customWidth="1"/>
    <col min="4" max="15" width="17.140625" style="1" hidden="1" customWidth="1"/>
    <col min="16" max="16" width="17.140625" style="1" customWidth="1"/>
    <col min="17" max="17" width="17.140625" style="1" bestFit="1" customWidth="1"/>
    <col min="18" max="18" width="6.140625" style="1" customWidth="1"/>
    <col min="19" max="19" width="12.7109375" style="1" customWidth="1"/>
    <col min="20" max="20" width="23.8515625" style="1" customWidth="1"/>
    <col min="21" max="21" width="10.28125" style="1" customWidth="1"/>
    <col min="22" max="22" width="11.140625" style="1" bestFit="1" customWidth="1"/>
    <col min="23" max="23" width="13.7109375" style="1" customWidth="1"/>
    <col min="24" max="16384" width="10.28125" style="1" customWidth="1"/>
  </cols>
  <sheetData>
    <row r="1" spans="2:18" ht="12.75" hidden="1">
      <c r="B1" s="2"/>
      <c r="C1" s="2"/>
      <c r="D1" s="2"/>
      <c r="E1" s="2"/>
      <c r="F1" s="2"/>
      <c r="G1" s="2"/>
      <c r="H1" s="2"/>
      <c r="I1" s="2"/>
      <c r="J1" s="2"/>
      <c r="K1" s="2"/>
      <c r="L1" s="2"/>
      <c r="M1" s="2"/>
      <c r="N1" s="2"/>
      <c r="O1" s="2"/>
      <c r="P1" s="2"/>
      <c r="Q1" s="2"/>
      <c r="R1" s="2"/>
    </row>
    <row r="2" spans="2:20" ht="12.75" hidden="1">
      <c r="B2" s="2"/>
      <c r="C2" s="2"/>
      <c r="D2" s="2"/>
      <c r="E2" s="2"/>
      <c r="F2" s="2"/>
      <c r="G2" s="2"/>
      <c r="H2" s="2"/>
      <c r="I2" s="2"/>
      <c r="J2" s="2"/>
      <c r="K2" s="2"/>
      <c r="L2" s="2"/>
      <c r="M2" s="2"/>
      <c r="N2" s="2"/>
      <c r="O2" s="2"/>
      <c r="P2" s="2"/>
      <c r="Q2" s="2"/>
      <c r="R2" s="2"/>
      <c r="T2" s="3"/>
    </row>
    <row r="3" spans="2:18" ht="23.25" hidden="1">
      <c r="B3" s="275" t="s">
        <v>0</v>
      </c>
      <c r="C3" s="275"/>
      <c r="D3" s="275"/>
      <c r="E3" s="275"/>
      <c r="F3" s="275"/>
      <c r="G3" s="275"/>
      <c r="H3" s="275"/>
      <c r="I3" s="275"/>
      <c r="J3" s="275"/>
      <c r="K3" s="275"/>
      <c r="L3" s="275"/>
      <c r="M3" s="275"/>
      <c r="N3" s="275"/>
      <c r="O3" s="275"/>
      <c r="P3" s="275"/>
      <c r="Q3" s="275"/>
      <c r="R3" s="4"/>
    </row>
    <row r="4" spans="2:18" ht="12.75" hidden="1">
      <c r="B4" s="277" t="s">
        <v>1</v>
      </c>
      <c r="C4" s="277"/>
      <c r="D4" s="277"/>
      <c r="E4" s="277"/>
      <c r="F4" s="277"/>
      <c r="G4" s="277"/>
      <c r="H4" s="277"/>
      <c r="I4" s="277"/>
      <c r="J4" s="277"/>
      <c r="K4" s="277"/>
      <c r="L4" s="277"/>
      <c r="M4" s="277"/>
      <c r="N4" s="277"/>
      <c r="O4" s="277"/>
      <c r="P4" s="277"/>
      <c r="Q4" s="277"/>
      <c r="R4" s="2"/>
    </row>
    <row r="5" spans="2:18" ht="12.75">
      <c r="B5" s="5"/>
      <c r="C5" s="5"/>
      <c r="D5" s="5"/>
      <c r="E5" s="5"/>
      <c r="F5" s="5"/>
      <c r="G5" s="5"/>
      <c r="H5" s="5"/>
      <c r="I5" s="5"/>
      <c r="J5" s="5"/>
      <c r="K5" s="5"/>
      <c r="L5" s="5"/>
      <c r="M5" s="5"/>
      <c r="N5" s="5"/>
      <c r="O5" s="5"/>
      <c r="P5" s="5"/>
      <c r="Q5" s="5"/>
      <c r="R5" s="2"/>
    </row>
    <row r="6" spans="2:18" ht="12.75">
      <c r="B6" s="5"/>
      <c r="C6" s="5"/>
      <c r="D6" s="5"/>
      <c r="E6" s="5"/>
      <c r="F6" s="5"/>
      <c r="G6" s="5"/>
      <c r="H6" s="5"/>
      <c r="I6" s="5"/>
      <c r="J6" s="5"/>
      <c r="K6" s="5"/>
      <c r="L6" s="5"/>
      <c r="M6" s="5"/>
      <c r="N6" s="5"/>
      <c r="O6" s="5"/>
      <c r="P6" s="5"/>
      <c r="Q6" s="5"/>
      <c r="R6" s="2"/>
    </row>
    <row r="7" spans="2:18" ht="12.75">
      <c r="B7" s="5"/>
      <c r="C7" s="5"/>
      <c r="D7" s="5"/>
      <c r="E7" s="5"/>
      <c r="F7" s="5"/>
      <c r="G7" s="5"/>
      <c r="H7" s="5"/>
      <c r="I7" s="5"/>
      <c r="J7" s="5"/>
      <c r="K7" s="5"/>
      <c r="L7" s="5"/>
      <c r="M7" s="5"/>
      <c r="N7" s="5"/>
      <c r="O7" s="5"/>
      <c r="P7" s="5"/>
      <c r="Q7" s="5"/>
      <c r="R7" s="2"/>
    </row>
    <row r="8" spans="2:18" ht="12.75">
      <c r="B8" s="5"/>
      <c r="C8" s="5"/>
      <c r="D8" s="5"/>
      <c r="E8" s="5"/>
      <c r="F8" s="5"/>
      <c r="G8" s="5"/>
      <c r="H8" s="5"/>
      <c r="I8" s="5"/>
      <c r="J8" s="5"/>
      <c r="K8" s="5"/>
      <c r="L8" s="5"/>
      <c r="M8" s="5"/>
      <c r="N8" s="5"/>
      <c r="O8" s="5"/>
      <c r="P8" s="5"/>
      <c r="Q8" s="5"/>
      <c r="R8" s="2"/>
    </row>
    <row r="9" spans="2:18" ht="16.5">
      <c r="B9" s="6"/>
      <c r="C9" s="7" t="s">
        <v>2</v>
      </c>
      <c r="D9" s="6"/>
      <c r="E9" s="6"/>
      <c r="F9" s="6"/>
      <c r="G9" s="6"/>
      <c r="H9" s="6"/>
      <c r="I9" s="6"/>
      <c r="J9" s="6"/>
      <c r="K9" s="6"/>
      <c r="L9" s="6"/>
      <c r="M9" s="6"/>
      <c r="N9" s="6"/>
      <c r="O9" s="6"/>
      <c r="P9" s="6"/>
      <c r="Q9" s="2"/>
      <c r="R9" s="2"/>
    </row>
    <row r="10" spans="2:23" ht="16.5">
      <c r="B10" s="6"/>
      <c r="C10" s="7" t="s">
        <v>3</v>
      </c>
      <c r="D10" s="6"/>
      <c r="E10" s="6"/>
      <c r="F10" s="6"/>
      <c r="G10" s="6"/>
      <c r="H10" s="6"/>
      <c r="I10" s="6"/>
      <c r="J10" s="6"/>
      <c r="K10" s="6"/>
      <c r="L10" s="6"/>
      <c r="M10" s="6"/>
      <c r="N10" s="6"/>
      <c r="O10" s="6"/>
      <c r="P10" s="6"/>
      <c r="Q10" s="2"/>
      <c r="R10" s="2"/>
      <c r="V10" s="142"/>
      <c r="W10" s="142"/>
    </row>
    <row r="11" spans="2:18" ht="16.5">
      <c r="B11" s="6"/>
      <c r="C11" s="7" t="s">
        <v>4</v>
      </c>
      <c r="D11" s="6"/>
      <c r="E11" s="6"/>
      <c r="F11" s="6"/>
      <c r="G11" s="6"/>
      <c r="H11" s="6"/>
      <c r="I11" s="6"/>
      <c r="J11" s="6"/>
      <c r="K11" s="6"/>
      <c r="L11" s="6"/>
      <c r="M11" s="6"/>
      <c r="N11" s="6"/>
      <c r="O11" s="6"/>
      <c r="P11" s="6"/>
      <c r="Q11" s="2"/>
      <c r="R11" s="2"/>
    </row>
    <row r="12" spans="2:18" ht="16.5">
      <c r="B12" s="6"/>
      <c r="C12" s="7" t="s">
        <v>5</v>
      </c>
      <c r="D12" s="6"/>
      <c r="E12" s="6"/>
      <c r="F12" s="6"/>
      <c r="G12" s="6"/>
      <c r="H12" s="6"/>
      <c r="I12" s="6"/>
      <c r="J12" s="6"/>
      <c r="K12" s="6"/>
      <c r="L12" s="6"/>
      <c r="M12" s="6"/>
      <c r="N12" s="6"/>
      <c r="O12" s="6"/>
      <c r="P12" s="6"/>
      <c r="Q12" s="2"/>
      <c r="R12" s="2"/>
    </row>
    <row r="13" spans="2:18" ht="16.5">
      <c r="B13" s="6"/>
      <c r="C13" s="7" t="s">
        <v>6</v>
      </c>
      <c r="D13" s="6"/>
      <c r="E13" s="6"/>
      <c r="F13" s="6"/>
      <c r="G13" s="6"/>
      <c r="H13" s="6"/>
      <c r="I13" s="6"/>
      <c r="J13" s="6"/>
      <c r="K13" s="6"/>
      <c r="L13" s="6"/>
      <c r="M13" s="6"/>
      <c r="N13" s="6"/>
      <c r="O13" s="6"/>
      <c r="P13" s="6"/>
      <c r="Q13" s="2"/>
      <c r="R13" s="2"/>
    </row>
    <row r="14" spans="2:18" ht="15">
      <c r="B14" s="6"/>
      <c r="C14" s="6"/>
      <c r="D14" s="6"/>
      <c r="E14" s="6"/>
      <c r="F14" s="6"/>
      <c r="G14" s="6"/>
      <c r="H14" s="6"/>
      <c r="I14" s="6"/>
      <c r="J14" s="6"/>
      <c r="K14" s="6"/>
      <c r="L14" s="6"/>
      <c r="M14" s="6"/>
      <c r="N14" s="6"/>
      <c r="O14" s="6"/>
      <c r="P14" s="6"/>
      <c r="Q14" s="2"/>
      <c r="R14" s="2"/>
    </row>
    <row r="15" spans="2:18" ht="16.5">
      <c r="B15" s="6"/>
      <c r="C15" s="7" t="s">
        <v>7</v>
      </c>
      <c r="D15" s="6"/>
      <c r="E15" s="6"/>
      <c r="F15" s="6"/>
      <c r="G15" s="6"/>
      <c r="H15" s="6"/>
      <c r="I15" s="6"/>
      <c r="J15" s="6"/>
      <c r="K15" s="6"/>
      <c r="L15" s="6"/>
      <c r="M15" s="6"/>
      <c r="N15" s="6"/>
      <c r="O15" s="6"/>
      <c r="P15" s="6"/>
      <c r="Q15" s="2"/>
      <c r="R15" s="2"/>
    </row>
    <row r="16" spans="2:18" ht="15">
      <c r="B16" s="6"/>
      <c r="C16" s="6"/>
      <c r="D16" s="6"/>
      <c r="E16" s="6"/>
      <c r="F16" s="6"/>
      <c r="G16" s="6"/>
      <c r="H16" s="6"/>
      <c r="I16" s="6"/>
      <c r="J16" s="6"/>
      <c r="K16" s="6"/>
      <c r="L16" s="6"/>
      <c r="M16" s="6"/>
      <c r="N16" s="6"/>
      <c r="O16" s="6"/>
      <c r="P16" s="6"/>
      <c r="Q16" s="2"/>
      <c r="R16" s="2"/>
    </row>
    <row r="17" spans="2:18" ht="15.75">
      <c r="B17" s="276" t="s">
        <v>8</v>
      </c>
      <c r="C17" s="276"/>
      <c r="D17" s="276"/>
      <c r="E17" s="276"/>
      <c r="F17" s="276"/>
      <c r="G17" s="276"/>
      <c r="H17" s="276"/>
      <c r="I17" s="276"/>
      <c r="J17" s="276"/>
      <c r="K17" s="276"/>
      <c r="L17" s="276"/>
      <c r="M17" s="276"/>
      <c r="N17" s="276"/>
      <c r="O17" s="276"/>
      <c r="P17" s="276"/>
      <c r="Q17" s="276"/>
      <c r="R17" s="2"/>
    </row>
    <row r="18" spans="2:18" ht="15.75">
      <c r="B18" s="276" t="s">
        <v>247</v>
      </c>
      <c r="C18" s="276"/>
      <c r="D18" s="276"/>
      <c r="E18" s="276"/>
      <c r="F18" s="276"/>
      <c r="G18" s="276"/>
      <c r="H18" s="276"/>
      <c r="I18" s="276"/>
      <c r="J18" s="276"/>
      <c r="K18" s="276"/>
      <c r="L18" s="276"/>
      <c r="M18" s="276"/>
      <c r="N18" s="276"/>
      <c r="O18" s="276"/>
      <c r="P18" s="276"/>
      <c r="Q18" s="276"/>
      <c r="R18" s="2"/>
    </row>
    <row r="19" spans="2:18" ht="7.5" customHeight="1">
      <c r="B19" s="8"/>
      <c r="C19" s="6"/>
      <c r="D19" s="6"/>
      <c r="E19" s="6"/>
      <c r="F19" s="6"/>
      <c r="G19" s="6"/>
      <c r="H19" s="6"/>
      <c r="I19" s="6"/>
      <c r="J19" s="6"/>
      <c r="K19" s="6"/>
      <c r="L19" s="6"/>
      <c r="M19" s="6"/>
      <c r="N19" s="6"/>
      <c r="O19" s="6"/>
      <c r="P19" s="6"/>
      <c r="Q19" s="2"/>
      <c r="R19" s="2"/>
    </row>
    <row r="20" spans="2:18" ht="16.5">
      <c r="B20" s="7" t="s">
        <v>248</v>
      </c>
      <c r="C20" s="9"/>
      <c r="D20" s="6"/>
      <c r="E20" s="6"/>
      <c r="F20" s="6"/>
      <c r="G20" s="6"/>
      <c r="H20" s="6"/>
      <c r="I20" s="6"/>
      <c r="J20" s="6"/>
      <c r="K20" s="6"/>
      <c r="L20" s="6"/>
      <c r="M20" s="6"/>
      <c r="N20" s="6"/>
      <c r="O20" s="6"/>
      <c r="P20" s="6"/>
      <c r="Q20" s="2"/>
      <c r="R20" s="2"/>
    </row>
    <row r="21" spans="2:20" ht="13.5" thickBot="1">
      <c r="B21" s="8"/>
      <c r="C21" s="8"/>
      <c r="D21" s="8"/>
      <c r="E21" s="8"/>
      <c r="F21" s="8"/>
      <c r="G21" s="8"/>
      <c r="H21" s="8"/>
      <c r="I21" s="8"/>
      <c r="J21" s="8"/>
      <c r="K21" s="8"/>
      <c r="L21" s="8"/>
      <c r="M21" s="8"/>
      <c r="N21" s="8"/>
      <c r="O21" s="8"/>
      <c r="P21" s="8"/>
      <c r="Q21" s="10" t="s">
        <v>9</v>
      </c>
      <c r="R21" s="11"/>
      <c r="T21" s="135"/>
    </row>
    <row r="22" spans="2:17" ht="15.75">
      <c r="B22" s="250"/>
      <c r="C22" s="12"/>
      <c r="D22" s="255" t="s">
        <v>59</v>
      </c>
      <c r="E22" s="13" t="s">
        <v>59</v>
      </c>
      <c r="F22" s="13" t="s">
        <v>60</v>
      </c>
      <c r="G22" s="13" t="s">
        <v>60</v>
      </c>
      <c r="H22" s="13" t="s">
        <v>61</v>
      </c>
      <c r="I22" s="13" t="s">
        <v>61</v>
      </c>
      <c r="J22" s="13" t="s">
        <v>167</v>
      </c>
      <c r="K22" s="13" t="s">
        <v>167</v>
      </c>
      <c r="L22" s="13" t="s">
        <v>180</v>
      </c>
      <c r="M22" s="13" t="s">
        <v>180</v>
      </c>
      <c r="N22" s="13" t="s">
        <v>216</v>
      </c>
      <c r="O22" s="13" t="s">
        <v>216</v>
      </c>
      <c r="P22" s="14" t="s">
        <v>10</v>
      </c>
      <c r="Q22" s="14" t="s">
        <v>10</v>
      </c>
    </row>
    <row r="23" spans="2:17" ht="15.75">
      <c r="B23" s="251" t="s">
        <v>11</v>
      </c>
      <c r="C23" s="15" t="s">
        <v>12</v>
      </c>
      <c r="D23" s="256"/>
      <c r="E23" s="16"/>
      <c r="F23" s="16"/>
      <c r="G23" s="16"/>
      <c r="H23" s="16" t="s">
        <v>13</v>
      </c>
      <c r="I23" s="16" t="s">
        <v>13</v>
      </c>
      <c r="J23" s="16" t="s">
        <v>13</v>
      </c>
      <c r="K23" s="16" t="s">
        <v>13</v>
      </c>
      <c r="L23" s="16" t="s">
        <v>13</v>
      </c>
      <c r="M23" s="16" t="s">
        <v>13</v>
      </c>
      <c r="N23" s="16" t="s">
        <v>13</v>
      </c>
      <c r="O23" s="16" t="s">
        <v>13</v>
      </c>
      <c r="P23" s="17" t="s">
        <v>13</v>
      </c>
      <c r="Q23" s="17" t="s">
        <v>13</v>
      </c>
    </row>
    <row r="24" spans="2:17" ht="16.5" thickBot="1">
      <c r="B24" s="252"/>
      <c r="C24" s="18"/>
      <c r="D24" s="257" t="s">
        <v>14</v>
      </c>
      <c r="E24" s="19" t="s">
        <v>15</v>
      </c>
      <c r="F24" s="16" t="s">
        <v>155</v>
      </c>
      <c r="G24" s="16" t="s">
        <v>146</v>
      </c>
      <c r="H24" s="19" t="s">
        <v>62</v>
      </c>
      <c r="I24" s="19" t="s">
        <v>63</v>
      </c>
      <c r="J24" s="19" t="s">
        <v>162</v>
      </c>
      <c r="K24" s="19" t="s">
        <v>161</v>
      </c>
      <c r="L24" s="19" t="s">
        <v>162</v>
      </c>
      <c r="M24" s="19" t="s">
        <v>161</v>
      </c>
      <c r="N24" s="19" t="s">
        <v>217</v>
      </c>
      <c r="O24" s="19" t="s">
        <v>16</v>
      </c>
      <c r="P24" s="20" t="s">
        <v>217</v>
      </c>
      <c r="Q24" s="20" t="s">
        <v>16</v>
      </c>
    </row>
    <row r="25" spans="2:17" ht="16.5" thickBot="1">
      <c r="B25" s="253"/>
      <c r="C25" s="22"/>
      <c r="D25" s="258" t="s">
        <v>17</v>
      </c>
      <c r="E25" s="24" t="s">
        <v>18</v>
      </c>
      <c r="F25" s="23" t="s">
        <v>17</v>
      </c>
      <c r="G25" s="24" t="s">
        <v>18</v>
      </c>
      <c r="H25" s="23" t="s">
        <v>17</v>
      </c>
      <c r="I25" s="24" t="s">
        <v>18</v>
      </c>
      <c r="J25" s="23" t="s">
        <v>17</v>
      </c>
      <c r="K25" s="24" t="s">
        <v>18</v>
      </c>
      <c r="L25" s="23" t="s">
        <v>17</v>
      </c>
      <c r="M25" s="24" t="s">
        <v>18</v>
      </c>
      <c r="N25" s="24" t="s">
        <v>218</v>
      </c>
      <c r="O25" s="24" t="s">
        <v>218</v>
      </c>
      <c r="P25" s="24" t="s">
        <v>19</v>
      </c>
      <c r="Q25" s="24" t="s">
        <v>19</v>
      </c>
    </row>
    <row r="26" spans="2:17" ht="15.75">
      <c r="B26" s="248"/>
      <c r="C26" s="26"/>
      <c r="D26" s="259"/>
      <c r="E26" s="27"/>
      <c r="F26" s="26"/>
      <c r="G26" s="26"/>
      <c r="H26" s="26"/>
      <c r="I26" s="26"/>
      <c r="J26" s="26"/>
      <c r="K26" s="26"/>
      <c r="L26" s="26"/>
      <c r="M26" s="26"/>
      <c r="N26" s="26"/>
      <c r="O26" s="26"/>
      <c r="P26" s="26"/>
      <c r="Q26" s="27"/>
    </row>
    <row r="27" spans="2:20" ht="15.75">
      <c r="B27" s="248">
        <v>1</v>
      </c>
      <c r="C27" s="15" t="s">
        <v>20</v>
      </c>
      <c r="D27" s="260">
        <v>6569.42</v>
      </c>
      <c r="E27" s="29">
        <f>8178.43-235.92</f>
        <v>7942.51</v>
      </c>
      <c r="F27" s="28">
        <f>+H27-D27</f>
        <v>6874.959999999999</v>
      </c>
      <c r="G27" s="28">
        <f>+I27-E27</f>
        <v>7908.99</v>
      </c>
      <c r="H27" s="28">
        <v>13444.38</v>
      </c>
      <c r="I27" s="28">
        <v>15851.5</v>
      </c>
      <c r="J27" s="28">
        <f>+L27-H27</f>
        <v>6597.120000000001</v>
      </c>
      <c r="K27" s="28">
        <f>+M27-I27</f>
        <v>8596.937069999996</v>
      </c>
      <c r="L27" s="28">
        <v>20041.5</v>
      </c>
      <c r="M27" s="28">
        <v>24448.437069999996</v>
      </c>
      <c r="N27" s="28">
        <f>+P27-L27</f>
        <v>6248.740000000002</v>
      </c>
      <c r="O27" s="28">
        <f>+Q27-M27</f>
        <v>8441.282930000005</v>
      </c>
      <c r="P27" s="28">
        <f>26206.49+83.75</f>
        <v>26290.24</v>
      </c>
      <c r="Q27" s="29">
        <f>32831.35+58.37</f>
        <v>32889.72</v>
      </c>
      <c r="S27" s="133"/>
      <c r="T27" s="84"/>
    </row>
    <row r="28" spans="2:26" ht="15.75">
      <c r="B28" s="248">
        <v>2</v>
      </c>
      <c r="C28" s="26" t="s">
        <v>215</v>
      </c>
      <c r="D28" s="260">
        <f>289.15</f>
        <v>289.15</v>
      </c>
      <c r="E28" s="29">
        <f>176.45+157.24</f>
        <v>333.69</v>
      </c>
      <c r="F28" s="28">
        <f>+H28-D28</f>
        <v>257.52</v>
      </c>
      <c r="G28" s="28">
        <f>+I28-E28</f>
        <v>405.16</v>
      </c>
      <c r="H28" s="28">
        <v>546.67</v>
      </c>
      <c r="I28" s="28">
        <v>738.85</v>
      </c>
      <c r="J28" s="28">
        <f>+L28-H28</f>
        <v>241.35000000000002</v>
      </c>
      <c r="K28" s="28">
        <f>+M28-I28</f>
        <v>308.09797000000015</v>
      </c>
      <c r="L28" s="28">
        <v>788.02</v>
      </c>
      <c r="M28" s="28">
        <v>1046.9479700000002</v>
      </c>
      <c r="N28" s="28">
        <f>+P28-L28</f>
        <v>94.63</v>
      </c>
      <c r="O28" s="28">
        <f>+Q28-M28</f>
        <v>408.42202999999995</v>
      </c>
      <c r="P28" s="28">
        <f>966.4-83.75</f>
        <v>882.65</v>
      </c>
      <c r="Q28" s="29">
        <f>1346.45+167.29-58.37</f>
        <v>1455.3700000000001</v>
      </c>
      <c r="S28" s="84"/>
      <c r="T28" s="133"/>
      <c r="U28" s="135"/>
      <c r="Z28" s="135"/>
    </row>
    <row r="29" spans="2:20" ht="15.75">
      <c r="B29" s="248">
        <v>3</v>
      </c>
      <c r="C29" s="15" t="s">
        <v>22</v>
      </c>
      <c r="D29" s="261">
        <f>+D27+D28</f>
        <v>6858.57</v>
      </c>
      <c r="E29" s="31">
        <f>+E27+E28</f>
        <v>8276.2</v>
      </c>
      <c r="F29" s="31">
        <f>+F27+F28</f>
        <v>7132.48</v>
      </c>
      <c r="G29" s="31">
        <f>+G27+G28</f>
        <v>8314.15</v>
      </c>
      <c r="H29" s="31">
        <v>13991.05</v>
      </c>
      <c r="I29" s="31">
        <v>16590.35</v>
      </c>
      <c r="J29" s="31">
        <f>+J27+J28</f>
        <v>6838.470000000001</v>
      </c>
      <c r="K29" s="31">
        <f>+K27+K28</f>
        <v>8905.035039999997</v>
      </c>
      <c r="L29" s="31">
        <v>20829.52</v>
      </c>
      <c r="M29" s="31">
        <f>SUM(M27:M28)</f>
        <v>25495.385039999997</v>
      </c>
      <c r="N29" s="31">
        <f>SUM(N27:N28)</f>
        <v>6343.370000000002</v>
      </c>
      <c r="O29" s="31">
        <f>SUM(O27:O28)</f>
        <v>8849.704960000005</v>
      </c>
      <c r="P29" s="31">
        <f>SUM(P27:P28)</f>
        <v>27172.890000000003</v>
      </c>
      <c r="Q29" s="31">
        <f>+Q27+Q28</f>
        <v>34345.090000000004</v>
      </c>
      <c r="S29" s="133"/>
      <c r="T29" s="84"/>
    </row>
    <row r="30" spans="2:25" ht="15.75">
      <c r="B30" s="248">
        <v>4</v>
      </c>
      <c r="C30" s="15" t="s">
        <v>23</v>
      </c>
      <c r="D30" s="260"/>
      <c r="E30" s="29"/>
      <c r="F30" s="28"/>
      <c r="G30" s="28"/>
      <c r="H30" s="28"/>
      <c r="I30" s="28"/>
      <c r="J30" s="28"/>
      <c r="K30" s="28"/>
      <c r="L30" s="28"/>
      <c r="M30" s="28"/>
      <c r="N30" s="28"/>
      <c r="O30" s="28"/>
      <c r="P30" s="28"/>
      <c r="Q30" s="29"/>
      <c r="S30" s="133"/>
      <c r="T30" s="84"/>
      <c r="Y30" s="135"/>
    </row>
    <row r="31" spans="2:20" ht="15.75">
      <c r="B31" s="248"/>
      <c r="C31" s="26" t="s">
        <v>24</v>
      </c>
      <c r="D31" s="260">
        <v>-266.73</v>
      </c>
      <c r="E31" s="29">
        <v>-728.46</v>
      </c>
      <c r="F31" s="28">
        <f aca="true" t="shared" si="0" ref="F31:G37">+H31-D31</f>
        <v>225.97000000000003</v>
      </c>
      <c r="G31" s="28">
        <f t="shared" si="0"/>
        <v>-679.3299999999999</v>
      </c>
      <c r="H31" s="28">
        <v>-40.76</v>
      </c>
      <c r="I31" s="28">
        <v>-1407.79</v>
      </c>
      <c r="J31" s="28">
        <f aca="true" t="shared" si="1" ref="J31:K37">+L31-H31</f>
        <v>-770.66</v>
      </c>
      <c r="K31" s="28">
        <f t="shared" si="1"/>
        <v>-642.9257400000001</v>
      </c>
      <c r="L31" s="28">
        <v>-811.42</v>
      </c>
      <c r="M31" s="28">
        <v>-2050.71574</v>
      </c>
      <c r="N31" s="28">
        <f aca="true" t="shared" si="2" ref="N31:O37">+P31-L31</f>
        <v>63.979999999999905</v>
      </c>
      <c r="O31" s="28">
        <f t="shared" si="2"/>
        <v>1320.1157400000002</v>
      </c>
      <c r="P31" s="28">
        <v>-747.44</v>
      </c>
      <c r="Q31" s="29">
        <v>-730.6</v>
      </c>
      <c r="S31" s="133"/>
      <c r="T31" s="84"/>
    </row>
    <row r="32" spans="2:19" ht="15.75">
      <c r="B32" s="248"/>
      <c r="C32" s="26" t="s">
        <v>25</v>
      </c>
      <c r="D32" s="260">
        <f>3859.4+3.33</f>
        <v>3862.73</v>
      </c>
      <c r="E32" s="29">
        <f>5162.57-235.92</f>
        <v>4926.65</v>
      </c>
      <c r="F32" s="28">
        <f t="shared" si="0"/>
        <v>2929.2900000000004</v>
      </c>
      <c r="G32" s="28">
        <f t="shared" si="0"/>
        <v>4324.26</v>
      </c>
      <c r="H32" s="28">
        <v>6792.02</v>
      </c>
      <c r="I32" s="28">
        <v>9250.91</v>
      </c>
      <c r="J32" s="28">
        <f t="shared" si="1"/>
        <v>5415.089999999998</v>
      </c>
      <c r="K32" s="28">
        <f t="shared" si="1"/>
        <v>6150.02751</v>
      </c>
      <c r="L32" s="28">
        <f>10964.8+1242.31</f>
        <v>12207.109999999999</v>
      </c>
      <c r="M32" s="28">
        <f>14215.06751+1185.87</f>
        <v>15400.93751</v>
      </c>
      <c r="N32" s="28">
        <f t="shared" si="2"/>
        <v>3626.720000000001</v>
      </c>
      <c r="O32" s="28">
        <f t="shared" si="2"/>
        <v>4191.72249</v>
      </c>
      <c r="P32" s="28">
        <v>15833.83</v>
      </c>
      <c r="Q32" s="267">
        <f>19592.66</f>
        <v>19592.66</v>
      </c>
      <c r="S32" s="135"/>
    </row>
    <row r="33" spans="2:17" ht="15.75">
      <c r="B33" s="248"/>
      <c r="C33" s="26" t="s">
        <v>26</v>
      </c>
      <c r="D33" s="260">
        <v>10.16</v>
      </c>
      <c r="E33" s="29">
        <v>22.62</v>
      </c>
      <c r="F33" s="28">
        <f t="shared" si="0"/>
        <v>177.82</v>
      </c>
      <c r="G33" s="28">
        <f t="shared" si="0"/>
        <v>0</v>
      </c>
      <c r="H33" s="28">
        <v>187.98</v>
      </c>
      <c r="I33" s="28">
        <v>22.62</v>
      </c>
      <c r="J33" s="28">
        <f t="shared" si="1"/>
        <v>69.78999999999999</v>
      </c>
      <c r="K33" s="28">
        <f t="shared" si="1"/>
        <v>113.60999999999999</v>
      </c>
      <c r="L33" s="28">
        <v>257.77</v>
      </c>
      <c r="M33" s="28">
        <v>136.23</v>
      </c>
      <c r="N33" s="28">
        <f t="shared" si="2"/>
        <v>86.86000000000001</v>
      </c>
      <c r="O33" s="28">
        <f t="shared" si="2"/>
        <v>0.05000000000001137</v>
      </c>
      <c r="P33" s="28">
        <v>344.63</v>
      </c>
      <c r="Q33" s="29">
        <v>136.28</v>
      </c>
    </row>
    <row r="34" spans="2:17" ht="15.75">
      <c r="B34" s="248"/>
      <c r="C34" s="26" t="s">
        <v>27</v>
      </c>
      <c r="D34" s="260">
        <v>838.84</v>
      </c>
      <c r="E34" s="29">
        <v>1255.81</v>
      </c>
      <c r="F34" s="28">
        <f t="shared" si="0"/>
        <v>581.0600000000001</v>
      </c>
      <c r="G34" s="28">
        <f t="shared" si="0"/>
        <v>923.21</v>
      </c>
      <c r="H34" s="28">
        <v>1419.9</v>
      </c>
      <c r="I34" s="28">
        <v>2179.02</v>
      </c>
      <c r="J34" s="28">
        <f t="shared" si="1"/>
        <v>632.0299999999997</v>
      </c>
      <c r="K34" s="28">
        <f t="shared" si="1"/>
        <v>928.6700000000001</v>
      </c>
      <c r="L34" s="28">
        <v>2051.93</v>
      </c>
      <c r="M34" s="28">
        <v>3107.69</v>
      </c>
      <c r="N34" s="28">
        <f t="shared" si="2"/>
        <v>909.2400000000002</v>
      </c>
      <c r="O34" s="28">
        <f t="shared" si="2"/>
        <v>945.8299999999999</v>
      </c>
      <c r="P34" s="28">
        <v>2961.17</v>
      </c>
      <c r="Q34" s="29">
        <v>4053.52</v>
      </c>
    </row>
    <row r="35" spans="2:17" ht="15.75">
      <c r="B35" s="248"/>
      <c r="C35" s="26" t="s">
        <v>28</v>
      </c>
      <c r="D35" s="260">
        <v>937.85</v>
      </c>
      <c r="E35" s="29">
        <v>883.44</v>
      </c>
      <c r="F35" s="28">
        <f t="shared" si="0"/>
        <v>867.0300000000001</v>
      </c>
      <c r="G35" s="28">
        <f t="shared" si="0"/>
        <v>980.75</v>
      </c>
      <c r="H35" s="28">
        <v>1804.88</v>
      </c>
      <c r="I35" s="28">
        <v>1864.19</v>
      </c>
      <c r="J35" s="28">
        <f t="shared" si="1"/>
        <v>1104.58</v>
      </c>
      <c r="K35" s="28">
        <f t="shared" si="1"/>
        <v>1054.6</v>
      </c>
      <c r="L35" s="28">
        <v>2909.46</v>
      </c>
      <c r="M35" s="28">
        <v>2918.79</v>
      </c>
      <c r="N35" s="28">
        <f t="shared" si="2"/>
        <v>866.21</v>
      </c>
      <c r="O35" s="28">
        <f t="shared" si="2"/>
        <v>1095.13</v>
      </c>
      <c r="P35" s="28">
        <v>3775.67</v>
      </c>
      <c r="Q35" s="29">
        <v>4013.92</v>
      </c>
    </row>
    <row r="36" spans="2:17" ht="15.75">
      <c r="B36" s="248"/>
      <c r="C36" s="26" t="s">
        <v>29</v>
      </c>
      <c r="D36" s="260">
        <v>307.22</v>
      </c>
      <c r="E36" s="29">
        <v>305.75</v>
      </c>
      <c r="F36" s="28">
        <f t="shared" si="0"/>
        <v>310.29999999999995</v>
      </c>
      <c r="G36" s="28">
        <f t="shared" si="0"/>
        <v>305.76</v>
      </c>
      <c r="H36" s="28">
        <v>617.52</v>
      </c>
      <c r="I36" s="28">
        <v>611.51</v>
      </c>
      <c r="J36" s="28">
        <f t="shared" si="1"/>
        <v>308.4</v>
      </c>
      <c r="K36" s="28">
        <f t="shared" si="1"/>
        <v>305.75221750000003</v>
      </c>
      <c r="L36" s="28">
        <v>925.92</v>
      </c>
      <c r="M36" s="28">
        <v>917.2622175</v>
      </c>
      <c r="N36" s="28">
        <f t="shared" si="2"/>
        <v>317.7700000000001</v>
      </c>
      <c r="O36" s="28">
        <f t="shared" si="2"/>
        <v>305.74778249999997</v>
      </c>
      <c r="P36" s="28">
        <v>1243.69</v>
      </c>
      <c r="Q36" s="29">
        <v>1223.01</v>
      </c>
    </row>
    <row r="37" spans="2:18" ht="15.75">
      <c r="B37" s="248"/>
      <c r="C37" s="26" t="s">
        <v>30</v>
      </c>
      <c r="D37" s="260">
        <f>1151.45+39.49-2.97</f>
        <v>1187.97</v>
      </c>
      <c r="E37" s="29">
        <f>816.76+409.21+157.24</f>
        <v>1383.21</v>
      </c>
      <c r="F37" s="28">
        <f t="shared" si="0"/>
        <v>2040.3</v>
      </c>
      <c r="G37" s="28">
        <f t="shared" si="0"/>
        <v>1741.2799999999997</v>
      </c>
      <c r="H37" s="28">
        <v>3228.27</v>
      </c>
      <c r="I37" s="28">
        <v>3124.49</v>
      </c>
      <c r="J37" s="28">
        <f t="shared" si="1"/>
        <v>238.08799999999974</v>
      </c>
      <c r="K37" s="28">
        <f t="shared" si="1"/>
        <v>383.19434</v>
      </c>
      <c r="L37" s="28">
        <f>4708.668-1242.31</f>
        <v>3466.3579999999997</v>
      </c>
      <c r="M37" s="28">
        <f>4693.55434-1185.87</f>
        <v>3507.68434</v>
      </c>
      <c r="N37" s="28">
        <f t="shared" si="2"/>
        <v>1057.8120000000004</v>
      </c>
      <c r="O37" s="28">
        <f>+Q37-M37-83.95</f>
        <v>1483.0956600000006</v>
      </c>
      <c r="P37" s="28">
        <v>4524.17</v>
      </c>
      <c r="Q37" s="29">
        <f>4751.05+167.29+156.39</f>
        <v>5074.7300000000005</v>
      </c>
      <c r="R37" s="32"/>
    </row>
    <row r="38" spans="2:17" ht="15.75">
      <c r="B38" s="248"/>
      <c r="C38" s="15" t="s">
        <v>31</v>
      </c>
      <c r="D38" s="261">
        <f>SUM(D31:D37)</f>
        <v>6878.040000000001</v>
      </c>
      <c r="E38" s="31">
        <f>SUM(E31:E37)</f>
        <v>8049.0199999999995</v>
      </c>
      <c r="F38" s="31">
        <f>SUM(F31:F37)</f>
        <v>7131.77</v>
      </c>
      <c r="G38" s="31">
        <f>SUM(G31:G37)</f>
        <v>7595.93</v>
      </c>
      <c r="H38" s="31">
        <v>14009.81</v>
      </c>
      <c r="I38" s="31">
        <v>15644.95</v>
      </c>
      <c r="J38" s="31">
        <f>SUM(J31:J37)</f>
        <v>6997.3179999999975</v>
      </c>
      <c r="K38" s="31">
        <f>SUM(K31:K37)</f>
        <v>8292.928327499998</v>
      </c>
      <c r="L38" s="31">
        <v>21007.128</v>
      </c>
      <c r="M38" s="31">
        <f>SUM(M31:M37)</f>
        <v>23937.8783275</v>
      </c>
      <c r="N38" s="31">
        <f>SUM(N31:N37)</f>
        <v>6928.592000000002</v>
      </c>
      <c r="O38" s="31">
        <f>SUM(O31:O37)+0.01</f>
        <v>9341.701672500001</v>
      </c>
      <c r="P38" s="31">
        <f>SUM(P31:P37)</f>
        <v>27935.72</v>
      </c>
      <c r="Q38" s="31">
        <f>SUM(Q31:Q37)</f>
        <v>33363.52</v>
      </c>
    </row>
    <row r="39" spans="2:17" ht="15.75">
      <c r="B39" s="248"/>
      <c r="C39" s="26"/>
      <c r="D39" s="260"/>
      <c r="E39" s="29"/>
      <c r="F39" s="28"/>
      <c r="G39" s="28"/>
      <c r="H39" s="28"/>
      <c r="I39" s="28"/>
      <c r="J39" s="28"/>
      <c r="K39" s="28"/>
      <c r="L39" s="28"/>
      <c r="M39" s="28"/>
      <c r="N39" s="28"/>
      <c r="O39" s="28"/>
      <c r="P39" s="28"/>
      <c r="Q39" s="29"/>
    </row>
    <row r="40" spans="2:17" ht="15.75">
      <c r="B40" s="248">
        <v>5</v>
      </c>
      <c r="C40" s="15" t="s">
        <v>252</v>
      </c>
      <c r="D40" s="260"/>
      <c r="E40" s="29"/>
      <c r="F40" s="28"/>
      <c r="G40" s="28"/>
      <c r="H40" s="28"/>
      <c r="I40" s="28"/>
      <c r="J40" s="28"/>
      <c r="K40" s="28"/>
      <c r="L40" s="28"/>
      <c r="M40" s="28"/>
      <c r="N40" s="33">
        <f>N29-N38</f>
        <v>-585.2220000000007</v>
      </c>
      <c r="O40" s="33">
        <f>O29-O38</f>
        <v>-491.99671249999665</v>
      </c>
      <c r="P40" s="33">
        <f>P29-P38</f>
        <v>-762.8299999999981</v>
      </c>
      <c r="Q40" s="33">
        <f>Q29-Q38</f>
        <v>981.570000000007</v>
      </c>
    </row>
    <row r="41" spans="2:17" ht="15.75">
      <c r="B41" s="248">
        <v>6</v>
      </c>
      <c r="C41" s="26" t="s">
        <v>32</v>
      </c>
      <c r="D41" s="260">
        <v>374.63</v>
      </c>
      <c r="E41" s="29">
        <v>293.72</v>
      </c>
      <c r="F41" s="28">
        <f>+H41-D41</f>
        <v>369.81000000000006</v>
      </c>
      <c r="G41" s="28">
        <f>+I41-E41</f>
        <v>380.75</v>
      </c>
      <c r="H41" s="28">
        <v>744.44</v>
      </c>
      <c r="I41" s="28">
        <v>674.47</v>
      </c>
      <c r="J41" s="28">
        <f>+L41-H41</f>
        <v>375.98</v>
      </c>
      <c r="K41" s="28">
        <f>+M41-I41</f>
        <v>273.4599999999999</v>
      </c>
      <c r="L41" s="28">
        <v>1120.42</v>
      </c>
      <c r="M41" s="28">
        <v>947.93</v>
      </c>
      <c r="N41" s="28">
        <f>+P41-L41</f>
        <v>505.5799999999999</v>
      </c>
      <c r="O41" s="28">
        <f>+Q41-M41+83.95</f>
        <v>460.38999999999993</v>
      </c>
      <c r="P41" s="266">
        <v>1626</v>
      </c>
      <c r="Q41" s="29">
        <f>1480.76-156.39</f>
        <v>1324.37</v>
      </c>
    </row>
    <row r="42" spans="2:17" ht="15.75">
      <c r="B42" s="248">
        <v>7</v>
      </c>
      <c r="C42" s="15" t="s">
        <v>253</v>
      </c>
      <c r="D42" s="262">
        <f>+D29-D38-D41</f>
        <v>-394.10000000000116</v>
      </c>
      <c r="E42" s="34">
        <f>+E29-E38-E41</f>
        <v>-66.53999999999883</v>
      </c>
      <c r="F42" s="34">
        <f>+F29-F38-F41</f>
        <v>-369.10000000000093</v>
      </c>
      <c r="G42" s="34">
        <f>+G29-G38-G41</f>
        <v>337.46999999999935</v>
      </c>
      <c r="H42" s="34">
        <v>-763.200000000002</v>
      </c>
      <c r="I42" s="34">
        <v>270.9299999999978</v>
      </c>
      <c r="J42" s="34">
        <f aca="true" t="shared" si="3" ref="J42:Q42">+J29-J38-J41</f>
        <v>-534.8279999999963</v>
      </c>
      <c r="K42" s="34">
        <f t="shared" si="3"/>
        <v>338.6467124999991</v>
      </c>
      <c r="L42" s="34">
        <f t="shared" si="3"/>
        <v>-1298.0280000000002</v>
      </c>
      <c r="M42" s="34">
        <f t="shared" si="3"/>
        <v>609.5767124999987</v>
      </c>
      <c r="N42" s="34">
        <f t="shared" si="3"/>
        <v>-1090.8020000000006</v>
      </c>
      <c r="O42" s="34">
        <f t="shared" si="3"/>
        <v>-952.3867124999965</v>
      </c>
      <c r="P42" s="34">
        <f t="shared" si="3"/>
        <v>-2388.829999999998</v>
      </c>
      <c r="Q42" s="34">
        <f t="shared" si="3"/>
        <v>-342.7999999999929</v>
      </c>
    </row>
    <row r="43" spans="2:19" ht="15.75">
      <c r="B43" s="248">
        <v>8</v>
      </c>
      <c r="C43" s="26" t="s">
        <v>34</v>
      </c>
      <c r="D43" s="260"/>
      <c r="E43" s="29"/>
      <c r="F43" s="28"/>
      <c r="G43" s="28"/>
      <c r="H43" s="28"/>
      <c r="I43" s="28"/>
      <c r="J43" s="28"/>
      <c r="K43" s="28"/>
      <c r="L43" s="28"/>
      <c r="M43" s="28"/>
      <c r="N43" s="28"/>
      <c r="O43" s="28"/>
      <c r="P43" s="28"/>
      <c r="Q43" s="29"/>
      <c r="S43" s="52"/>
    </row>
    <row r="44" spans="2:17" ht="15.75">
      <c r="B44" s="248"/>
      <c r="C44" s="26" t="s">
        <v>36</v>
      </c>
      <c r="D44" s="260">
        <v>0</v>
      </c>
      <c r="E44" s="29">
        <v>0</v>
      </c>
      <c r="F44" s="28">
        <v>0</v>
      </c>
      <c r="G44" s="28">
        <v>0</v>
      </c>
      <c r="H44" s="28">
        <v>0</v>
      </c>
      <c r="I44" s="28">
        <v>0</v>
      </c>
      <c r="J44" s="28"/>
      <c r="K44" s="28"/>
      <c r="L44" s="28"/>
      <c r="M44" s="28"/>
      <c r="N44" s="28"/>
      <c r="O44" s="28"/>
      <c r="P44" s="28"/>
      <c r="Q44" s="29">
        <v>0</v>
      </c>
    </row>
    <row r="45" spans="2:17" ht="15.75">
      <c r="B45" s="248"/>
      <c r="C45" s="26" t="s">
        <v>37</v>
      </c>
      <c r="D45" s="260">
        <v>20.42</v>
      </c>
      <c r="E45" s="29">
        <v>56.9</v>
      </c>
      <c r="F45" s="28">
        <f>+H45-D45</f>
        <v>105.33</v>
      </c>
      <c r="G45" s="28">
        <f>+I45-E45</f>
        <v>56.895</v>
      </c>
      <c r="H45" s="28">
        <v>125.75</v>
      </c>
      <c r="I45" s="28">
        <v>113.795</v>
      </c>
      <c r="J45" s="28">
        <f>+L45-H45</f>
        <v>-52.68000000000001</v>
      </c>
      <c r="K45" s="28">
        <f>+Q45-M45</f>
        <v>56.89750000000001</v>
      </c>
      <c r="L45" s="28">
        <v>73.07</v>
      </c>
      <c r="M45" s="28">
        <v>170.6925</v>
      </c>
      <c r="N45" s="28">
        <f>+P45-L45</f>
        <v>38.42</v>
      </c>
      <c r="O45" s="28">
        <f>+Q45-M45</f>
        <v>56.89750000000001</v>
      </c>
      <c r="P45" s="28">
        <v>111.49</v>
      </c>
      <c r="Q45" s="29">
        <v>227.59</v>
      </c>
    </row>
    <row r="46" spans="2:17" ht="15.75">
      <c r="B46" s="248"/>
      <c r="C46" s="26" t="s">
        <v>38</v>
      </c>
      <c r="D46" s="260">
        <f>3.56+2.02</f>
        <v>5.58</v>
      </c>
      <c r="E46" s="29">
        <v>5.79</v>
      </c>
      <c r="F46" s="28">
        <f>+H46-D46</f>
        <v>11.08</v>
      </c>
      <c r="G46" s="28">
        <f>+I46-E46</f>
        <v>3.1800000000000006</v>
      </c>
      <c r="H46" s="28">
        <v>16.66</v>
      </c>
      <c r="I46" s="28">
        <v>8.97</v>
      </c>
      <c r="J46" s="28">
        <f>+L46-H46</f>
        <v>10.600000000000001</v>
      </c>
      <c r="K46" s="28">
        <f>+M46-I46</f>
        <v>3.4799999999999986</v>
      </c>
      <c r="L46" s="28">
        <v>27.26</v>
      </c>
      <c r="M46" s="28">
        <v>12.45</v>
      </c>
      <c r="N46" s="28">
        <f>+P46-L46</f>
        <v>8.319999999999997</v>
      </c>
      <c r="O46" s="28">
        <f>+Q46-M46</f>
        <v>10.690000000000001</v>
      </c>
      <c r="P46" s="28">
        <v>35.58</v>
      </c>
      <c r="Q46" s="29">
        <v>23.14</v>
      </c>
    </row>
    <row r="47" spans="2:17" ht="15.75">
      <c r="B47" s="248"/>
      <c r="C47" s="15" t="s">
        <v>39</v>
      </c>
      <c r="D47" s="262">
        <f>SUM(D44:D46)</f>
        <v>26</v>
      </c>
      <c r="E47" s="34">
        <f>SUM(E44:E46)</f>
        <v>62.69</v>
      </c>
      <c r="F47" s="34">
        <f>SUM(F44:F46)</f>
        <v>116.41</v>
      </c>
      <c r="G47" s="33">
        <f>+I47-E47</f>
        <v>60.075</v>
      </c>
      <c r="H47" s="33">
        <v>142.41</v>
      </c>
      <c r="I47" s="34">
        <f aca="true" t="shared" si="4" ref="I47:Q47">SUM(I44:I46)</f>
        <v>122.765</v>
      </c>
      <c r="J47" s="34">
        <f t="shared" si="4"/>
        <v>-42.080000000000005</v>
      </c>
      <c r="K47" s="34">
        <f t="shared" si="4"/>
        <v>60.377500000000005</v>
      </c>
      <c r="L47" s="34">
        <v>100.33</v>
      </c>
      <c r="M47" s="34">
        <f t="shared" si="4"/>
        <v>183.14249999999998</v>
      </c>
      <c r="N47" s="34">
        <f t="shared" si="4"/>
        <v>46.739999999999995</v>
      </c>
      <c r="O47" s="34">
        <f t="shared" si="4"/>
        <v>67.5875</v>
      </c>
      <c r="P47" s="34">
        <f t="shared" si="4"/>
        <v>147.07</v>
      </c>
      <c r="Q47" s="34">
        <f t="shared" si="4"/>
        <v>250.73000000000002</v>
      </c>
    </row>
    <row r="48" spans="2:17" ht="15.75">
      <c r="B48" s="248">
        <v>9</v>
      </c>
      <c r="C48" s="15" t="s">
        <v>254</v>
      </c>
      <c r="D48" s="262">
        <f>D42-D47</f>
        <v>-420.10000000000116</v>
      </c>
      <c r="E48" s="34">
        <f>E42-E47</f>
        <v>-129.22999999999882</v>
      </c>
      <c r="F48" s="34">
        <f>F42-F47</f>
        <v>-485.5100000000009</v>
      </c>
      <c r="G48" s="33">
        <f>+I48-E48</f>
        <v>277.3949999999966</v>
      </c>
      <c r="H48" s="34">
        <v>-905.610000000002</v>
      </c>
      <c r="I48" s="34">
        <f>+I42-I47</f>
        <v>148.1649999999978</v>
      </c>
      <c r="J48" s="34">
        <f>+J42-J47</f>
        <v>-492.74799999999635</v>
      </c>
      <c r="K48" s="34">
        <f>+K42-K47</f>
        <v>278.2692124999991</v>
      </c>
      <c r="L48" s="34">
        <v>-1398.3580000000002</v>
      </c>
      <c r="M48" s="34">
        <v>426.43421249999875</v>
      </c>
      <c r="N48" s="34">
        <f>+N42-N47</f>
        <v>-1137.5420000000006</v>
      </c>
      <c r="O48" s="34">
        <f>+O42-O47-0.01</f>
        <v>-1019.9842124999965</v>
      </c>
      <c r="P48" s="34">
        <f>+P42-P47</f>
        <v>-2535.8999999999983</v>
      </c>
      <c r="Q48" s="34">
        <f>Q42-Q47</f>
        <v>-593.5299999999929</v>
      </c>
    </row>
    <row r="49" spans="2:17" ht="15.75">
      <c r="B49" s="248">
        <v>10</v>
      </c>
      <c r="C49" s="15" t="s">
        <v>41</v>
      </c>
      <c r="D49" s="262">
        <v>649.93</v>
      </c>
      <c r="E49" s="34">
        <v>649.93</v>
      </c>
      <c r="F49" s="34">
        <v>649.93</v>
      </c>
      <c r="G49" s="34">
        <v>649.93</v>
      </c>
      <c r="H49" s="34">
        <v>649.93</v>
      </c>
      <c r="I49" s="34">
        <v>649.93</v>
      </c>
      <c r="J49" s="34">
        <v>649.93</v>
      </c>
      <c r="K49" s="34">
        <v>649.93</v>
      </c>
      <c r="L49" s="34">
        <v>649.93</v>
      </c>
      <c r="M49" s="34">
        <v>649.93</v>
      </c>
      <c r="N49" s="34">
        <v>649.93</v>
      </c>
      <c r="O49" s="34">
        <v>649.93</v>
      </c>
      <c r="P49" s="34">
        <v>649.93</v>
      </c>
      <c r="Q49" s="34">
        <v>649.93</v>
      </c>
    </row>
    <row r="50" spans="2:17" ht="15.75">
      <c r="B50" s="248"/>
      <c r="C50" s="26" t="s">
        <v>42</v>
      </c>
      <c r="D50" s="260"/>
      <c r="E50" s="29"/>
      <c r="F50" s="28"/>
      <c r="G50" s="28"/>
      <c r="H50" s="28"/>
      <c r="I50" s="28"/>
      <c r="J50" s="28"/>
      <c r="K50" s="28"/>
      <c r="L50" s="28"/>
      <c r="M50" s="28"/>
      <c r="N50" s="28"/>
      <c r="O50" s="28"/>
      <c r="P50" s="28"/>
      <c r="Q50" s="29"/>
    </row>
    <row r="51" spans="2:19" ht="15.75">
      <c r="B51" s="248">
        <v>11</v>
      </c>
      <c r="C51" s="15" t="s">
        <v>43</v>
      </c>
      <c r="D51" s="262">
        <f>7856.5-420.1</f>
        <v>7436.4</v>
      </c>
      <c r="E51" s="34">
        <v>8320.81</v>
      </c>
      <c r="F51" s="34">
        <v>0</v>
      </c>
      <c r="G51" s="33">
        <v>0</v>
      </c>
      <c r="H51" s="34">
        <v>0</v>
      </c>
      <c r="I51" s="33">
        <v>0</v>
      </c>
      <c r="J51" s="33"/>
      <c r="K51" s="33"/>
      <c r="L51" s="33"/>
      <c r="M51" s="33"/>
      <c r="N51" s="33"/>
      <c r="O51" s="33"/>
      <c r="P51" s="33">
        <v>5320.6</v>
      </c>
      <c r="Q51" s="34">
        <v>7856.5</v>
      </c>
      <c r="S51" s="32"/>
    </row>
    <row r="52" spans="2:17" ht="15.75">
      <c r="B52" s="248">
        <v>12</v>
      </c>
      <c r="C52" s="15" t="s">
        <v>255</v>
      </c>
      <c r="D52" s="262">
        <f>+D48/D49*10</f>
        <v>-6.463773021710049</v>
      </c>
      <c r="E52" s="34">
        <f>+E48/E49*10</f>
        <v>-1.9883679780899302</v>
      </c>
      <c r="F52" s="34">
        <f>+F48/(F49)*10</f>
        <v>-7.470189097287414</v>
      </c>
      <c r="G52" s="34">
        <f>+G48/(G49)*10</f>
        <v>4.2680750234640135</v>
      </c>
      <c r="H52" s="34">
        <v>-13.93396211899746</v>
      </c>
      <c r="I52" s="34">
        <v>2.2797070453740838</v>
      </c>
      <c r="J52" s="34">
        <f>+J48/J49*10</f>
        <v>-7.581554936685434</v>
      </c>
      <c r="K52" s="34">
        <f>+K48/K49*10</f>
        <v>4.281525895096382</v>
      </c>
      <c r="L52" s="34">
        <v>-21.51551705568292</v>
      </c>
      <c r="M52" s="34">
        <f>+M48/(M49)*10</f>
        <v>6.561232940470494</v>
      </c>
      <c r="N52" s="34">
        <f>+N48/(N49)*10</f>
        <v>-17.502531041804513</v>
      </c>
      <c r="O52" s="34">
        <f>+O48/(O49)*10</f>
        <v>-15.693754904374265</v>
      </c>
      <c r="P52" s="34">
        <f>+P48/(P49)*10</f>
        <v>-39.0180480974874</v>
      </c>
      <c r="Q52" s="34">
        <f>+Q48/(Q49-5)*10</f>
        <v>-9.203014280619493</v>
      </c>
    </row>
    <row r="53" spans="2:17" ht="15.75">
      <c r="B53" s="248">
        <v>13</v>
      </c>
      <c r="C53" s="15" t="s">
        <v>46</v>
      </c>
      <c r="D53" s="260"/>
      <c r="E53" s="29"/>
      <c r="F53" s="28"/>
      <c r="G53" s="28"/>
      <c r="H53" s="28"/>
      <c r="I53" s="28"/>
      <c r="J53" s="28"/>
      <c r="K53" s="28"/>
      <c r="L53" s="28"/>
      <c r="M53" s="28"/>
      <c r="N53" s="28"/>
      <c r="O53" s="28"/>
      <c r="P53" s="28"/>
      <c r="Q53" s="29"/>
    </row>
    <row r="54" spans="2:17" ht="15.75">
      <c r="B54" s="248"/>
      <c r="C54" s="26"/>
      <c r="D54" s="260"/>
      <c r="E54" s="29"/>
      <c r="F54" s="28"/>
      <c r="G54" s="28"/>
      <c r="H54" s="28"/>
      <c r="I54" s="28"/>
      <c r="J54" s="28"/>
      <c r="K54" s="28"/>
      <c r="L54" s="28"/>
      <c r="M54" s="28"/>
      <c r="N54" s="28"/>
      <c r="O54" s="28"/>
      <c r="P54" s="28"/>
      <c r="Q54" s="29"/>
    </row>
    <row r="55" spans="2:17" ht="15.75">
      <c r="B55" s="248"/>
      <c r="C55" s="35" t="s">
        <v>47</v>
      </c>
      <c r="D55" s="263">
        <v>1718463</v>
      </c>
      <c r="E55" s="37">
        <v>1718463</v>
      </c>
      <c r="F55" s="37">
        <v>1718463</v>
      </c>
      <c r="G55" s="37">
        <v>1718463</v>
      </c>
      <c r="H55" s="37">
        <v>1718463</v>
      </c>
      <c r="I55" s="37">
        <v>1718463</v>
      </c>
      <c r="J55" s="37">
        <v>1718463</v>
      </c>
      <c r="K55" s="37">
        <v>1718463</v>
      </c>
      <c r="L55" s="37">
        <v>1718463</v>
      </c>
      <c r="M55" s="37">
        <v>1718463</v>
      </c>
      <c r="N55" s="37">
        <v>1718463</v>
      </c>
      <c r="O55" s="37">
        <v>1718463</v>
      </c>
      <c r="P55" s="37">
        <v>1718463</v>
      </c>
      <c r="Q55" s="37">
        <v>1718463</v>
      </c>
    </row>
    <row r="56" spans="2:17" ht="15.75">
      <c r="B56" s="248"/>
      <c r="C56" s="35" t="s">
        <v>48</v>
      </c>
      <c r="D56" s="249">
        <v>0.2644</v>
      </c>
      <c r="E56" s="39">
        <v>0.2644</v>
      </c>
      <c r="F56" s="39">
        <v>0.2644</v>
      </c>
      <c r="G56" s="39">
        <v>0.2644</v>
      </c>
      <c r="H56" s="39">
        <v>0.2644</v>
      </c>
      <c r="I56" s="39">
        <v>0.2644</v>
      </c>
      <c r="J56" s="39">
        <v>0.2644</v>
      </c>
      <c r="K56" s="39">
        <v>0.2644</v>
      </c>
      <c r="L56" s="39">
        <v>0.2644</v>
      </c>
      <c r="M56" s="39">
        <v>0.2644</v>
      </c>
      <c r="N56" s="39">
        <v>0.2644</v>
      </c>
      <c r="O56" s="39">
        <v>0.2644</v>
      </c>
      <c r="P56" s="39">
        <v>0.2644</v>
      </c>
      <c r="Q56" s="39">
        <v>0.2644</v>
      </c>
    </row>
    <row r="57" spans="2:17" ht="15.75">
      <c r="B57" s="248">
        <v>14</v>
      </c>
      <c r="C57" s="35" t="s">
        <v>234</v>
      </c>
      <c r="D57" s="249"/>
      <c r="E57" s="39"/>
      <c r="F57" s="39"/>
      <c r="G57" s="39"/>
      <c r="H57" s="39"/>
      <c r="I57" s="39"/>
      <c r="J57" s="39"/>
      <c r="K57" s="39"/>
      <c r="L57" s="39"/>
      <c r="M57" s="39"/>
      <c r="N57" s="39"/>
      <c r="O57" s="39"/>
      <c r="P57" s="39"/>
      <c r="Q57" s="39"/>
    </row>
    <row r="58" spans="2:17" ht="15.75">
      <c r="B58" s="248"/>
      <c r="C58" s="265" t="s">
        <v>235</v>
      </c>
      <c r="D58" s="249"/>
      <c r="E58" s="39"/>
      <c r="F58" s="39"/>
      <c r="G58" s="39"/>
      <c r="H58" s="39"/>
      <c r="I58" s="39"/>
      <c r="J58" s="39"/>
      <c r="K58" s="39"/>
      <c r="L58" s="39"/>
      <c r="M58" s="39"/>
      <c r="N58" s="39"/>
      <c r="O58" s="39"/>
      <c r="P58" s="39"/>
      <c r="Q58" s="39"/>
    </row>
    <row r="59" spans="2:17" ht="15.75">
      <c r="B59" s="248"/>
      <c r="C59" s="265" t="s">
        <v>236</v>
      </c>
      <c r="D59" s="249"/>
      <c r="E59" s="39"/>
      <c r="F59" s="39"/>
      <c r="G59" s="39"/>
      <c r="H59" s="39"/>
      <c r="I59" s="39"/>
      <c r="J59" s="39"/>
      <c r="K59" s="39"/>
      <c r="L59" s="39"/>
      <c r="M59" s="39"/>
      <c r="N59" s="39"/>
      <c r="O59" s="39"/>
      <c r="P59" s="39"/>
      <c r="Q59" s="39"/>
    </row>
    <row r="60" spans="2:17" ht="20.25" customHeight="1">
      <c r="B60" s="248"/>
      <c r="C60" s="265" t="s">
        <v>237</v>
      </c>
      <c r="D60" s="249"/>
      <c r="E60" s="39"/>
      <c r="F60" s="39"/>
      <c r="G60" s="39"/>
      <c r="H60" s="39"/>
      <c r="I60" s="39"/>
      <c r="J60" s="39"/>
      <c r="K60" s="39"/>
      <c r="L60" s="39"/>
      <c r="M60" s="39"/>
      <c r="N60" s="39"/>
      <c r="O60" s="39"/>
      <c r="P60" s="39"/>
      <c r="Q60" s="39"/>
    </row>
    <row r="61" spans="2:17" ht="15.75">
      <c r="B61" s="248"/>
      <c r="C61" s="265" t="s">
        <v>238</v>
      </c>
      <c r="D61" s="249"/>
      <c r="E61" s="39"/>
      <c r="F61" s="39"/>
      <c r="G61" s="39"/>
      <c r="H61" s="39"/>
      <c r="I61" s="39"/>
      <c r="J61" s="39"/>
      <c r="K61" s="39"/>
      <c r="L61" s="39"/>
      <c r="M61" s="39"/>
      <c r="N61" s="39"/>
      <c r="O61" s="39"/>
      <c r="P61" s="39"/>
      <c r="Q61" s="39"/>
    </row>
    <row r="62" spans="2:17" ht="18" customHeight="1">
      <c r="B62" s="248"/>
      <c r="C62" s="265" t="s">
        <v>239</v>
      </c>
      <c r="D62" s="249"/>
      <c r="E62" s="39"/>
      <c r="F62" s="39"/>
      <c r="G62" s="39"/>
      <c r="H62" s="39"/>
      <c r="I62" s="39"/>
      <c r="J62" s="39"/>
      <c r="K62" s="39"/>
      <c r="L62" s="39"/>
      <c r="M62" s="39"/>
      <c r="N62" s="39"/>
      <c r="O62" s="39"/>
      <c r="P62" s="39"/>
      <c r="Q62" s="39"/>
    </row>
    <row r="63" spans="2:17" ht="15.75">
      <c r="B63" s="248"/>
      <c r="C63" s="265" t="s">
        <v>240</v>
      </c>
      <c r="D63" s="249"/>
      <c r="E63" s="39"/>
      <c r="F63" s="39"/>
      <c r="G63" s="39"/>
      <c r="H63" s="39"/>
      <c r="I63" s="39"/>
      <c r="J63" s="39"/>
      <c r="K63" s="39"/>
      <c r="L63" s="39"/>
      <c r="M63" s="39"/>
      <c r="N63" s="39"/>
      <c r="O63" s="39"/>
      <c r="P63" s="39"/>
      <c r="Q63" s="39"/>
    </row>
    <row r="64" spans="2:17" ht="15.75">
      <c r="B64" s="248"/>
      <c r="C64" s="265"/>
      <c r="D64" s="249"/>
      <c r="E64" s="39"/>
      <c r="F64" s="39"/>
      <c r="G64" s="39"/>
      <c r="H64" s="39"/>
      <c r="I64" s="39"/>
      <c r="J64" s="39"/>
      <c r="K64" s="39"/>
      <c r="L64" s="39"/>
      <c r="M64" s="39"/>
      <c r="N64" s="39"/>
      <c r="O64" s="39"/>
      <c r="P64" s="39"/>
      <c r="Q64" s="39"/>
    </row>
    <row r="65" spans="2:17" ht="15.75">
      <c r="B65" s="248"/>
      <c r="C65" s="265" t="s">
        <v>241</v>
      </c>
      <c r="D65" s="249"/>
      <c r="E65" s="39"/>
      <c r="F65" s="39"/>
      <c r="G65" s="39"/>
      <c r="H65" s="39"/>
      <c r="I65" s="39"/>
      <c r="J65" s="39"/>
      <c r="K65" s="39"/>
      <c r="L65" s="39"/>
      <c r="M65" s="39"/>
      <c r="N65" s="39"/>
      <c r="O65" s="39"/>
      <c r="P65" s="39"/>
      <c r="Q65" s="39"/>
    </row>
    <row r="66" spans="2:17" ht="15.75">
      <c r="B66" s="248"/>
      <c r="C66" s="265" t="s">
        <v>242</v>
      </c>
      <c r="D66" s="249"/>
      <c r="E66" s="39"/>
      <c r="F66" s="39"/>
      <c r="G66" s="39"/>
      <c r="H66" s="39"/>
      <c r="I66" s="39"/>
      <c r="J66" s="39"/>
      <c r="K66" s="39"/>
      <c r="L66" s="37">
        <f>6449309-L55</f>
        <v>4730846</v>
      </c>
      <c r="M66" s="37">
        <f>6449309-M55</f>
        <v>4730846</v>
      </c>
      <c r="N66" s="37">
        <f>6499308-N55</f>
        <v>4780845</v>
      </c>
      <c r="O66" s="37">
        <f>6499308-O55</f>
        <v>4780845</v>
      </c>
      <c r="P66" s="37">
        <f>6499308-P55</f>
        <v>4780845</v>
      </c>
      <c r="Q66" s="37">
        <f>6499308-Q55</f>
        <v>4780845</v>
      </c>
    </row>
    <row r="67" spans="2:17" ht="18" customHeight="1">
      <c r="B67" s="248"/>
      <c r="C67" s="265" t="s">
        <v>243</v>
      </c>
      <c r="D67" s="249"/>
      <c r="E67" s="39"/>
      <c r="F67" s="39"/>
      <c r="G67" s="39"/>
      <c r="H67" s="39"/>
      <c r="I67" s="39"/>
      <c r="J67" s="39"/>
      <c r="K67" s="39"/>
      <c r="L67" s="39"/>
      <c r="M67" s="39"/>
      <c r="N67" s="39"/>
      <c r="O67" s="39"/>
      <c r="P67" s="39"/>
      <c r="Q67" s="39"/>
    </row>
    <row r="68" spans="2:17" ht="15.75">
      <c r="B68" s="248"/>
      <c r="C68" s="265" t="s">
        <v>244</v>
      </c>
      <c r="D68" s="249"/>
      <c r="E68" s="39"/>
      <c r="F68" s="39"/>
      <c r="G68" s="39"/>
      <c r="H68" s="39"/>
      <c r="I68" s="39"/>
      <c r="J68" s="39"/>
      <c r="K68" s="39"/>
      <c r="L68" s="39"/>
      <c r="M68" s="39"/>
      <c r="N68" s="39">
        <v>1</v>
      </c>
      <c r="O68" s="39">
        <v>1</v>
      </c>
      <c r="P68" s="39">
        <v>1</v>
      </c>
      <c r="Q68" s="39">
        <v>1</v>
      </c>
    </row>
    <row r="69" spans="2:17" ht="19.5" customHeight="1">
      <c r="B69" s="248"/>
      <c r="C69" s="265" t="s">
        <v>245</v>
      </c>
      <c r="D69" s="249"/>
      <c r="E69" s="39"/>
      <c r="F69" s="39"/>
      <c r="G69" s="39"/>
      <c r="H69" s="39"/>
      <c r="I69" s="39"/>
      <c r="J69" s="39"/>
      <c r="K69" s="39"/>
      <c r="L69" s="39"/>
      <c r="M69" s="39"/>
      <c r="N69" s="39">
        <f>+N66/6499308</f>
        <v>0.7355929277393839</v>
      </c>
      <c r="O69" s="39">
        <f>+O66/6499308</f>
        <v>0.7355929277393839</v>
      </c>
      <c r="P69" s="39">
        <f>+P66/6499308</f>
        <v>0.7355929277393839</v>
      </c>
      <c r="Q69" s="39">
        <f>+Q66/6499308</f>
        <v>0.7355929277393839</v>
      </c>
    </row>
    <row r="70" spans="2:17" ht="15.75">
      <c r="B70" s="248"/>
      <c r="C70" s="265" t="s">
        <v>246</v>
      </c>
      <c r="D70" s="249"/>
      <c r="E70" s="39"/>
      <c r="F70" s="39"/>
      <c r="G70" s="39"/>
      <c r="H70" s="39"/>
      <c r="I70" s="39"/>
      <c r="J70" s="39"/>
      <c r="K70" s="39"/>
      <c r="L70" s="39"/>
      <c r="M70" s="39"/>
      <c r="N70" s="39"/>
      <c r="O70" s="39"/>
      <c r="P70" s="39"/>
      <c r="Q70" s="39"/>
    </row>
    <row r="71" spans="2:17" ht="15.75">
      <c r="B71" s="248"/>
      <c r="C71" s="35"/>
      <c r="D71" s="249"/>
      <c r="E71" s="39"/>
      <c r="F71" s="39"/>
      <c r="G71" s="39"/>
      <c r="H71" s="39"/>
      <c r="I71" s="39"/>
      <c r="J71" s="39"/>
      <c r="K71" s="39"/>
      <c r="L71" s="39"/>
      <c r="M71" s="39"/>
      <c r="N71" s="39"/>
      <c r="O71" s="39"/>
      <c r="P71" s="39"/>
      <c r="Q71" s="39"/>
    </row>
    <row r="72" spans="2:17" ht="15.75">
      <c r="B72" s="248"/>
      <c r="C72" s="35"/>
      <c r="D72" s="249"/>
      <c r="E72" s="39"/>
      <c r="F72" s="39"/>
      <c r="G72" s="39"/>
      <c r="H72" s="39"/>
      <c r="I72" s="39"/>
      <c r="J72" s="39"/>
      <c r="K72" s="39"/>
      <c r="L72" s="39"/>
      <c r="M72" s="39"/>
      <c r="N72" s="39"/>
      <c r="O72" s="39"/>
      <c r="P72" s="39"/>
      <c r="Q72" s="39"/>
    </row>
    <row r="73" spans="2:17" ht="16.5" thickBot="1">
      <c r="B73" s="254"/>
      <c r="C73" s="41"/>
      <c r="D73" s="264"/>
      <c r="E73" s="43"/>
      <c r="F73" s="42"/>
      <c r="G73" s="42"/>
      <c r="H73" s="42"/>
      <c r="I73" s="42"/>
      <c r="J73" s="42"/>
      <c r="K73" s="42"/>
      <c r="L73" s="42"/>
      <c r="M73" s="42"/>
      <c r="N73" s="42"/>
      <c r="O73" s="42"/>
      <c r="P73" s="42"/>
      <c r="Q73" s="43"/>
    </row>
    <row r="74" spans="2:18" ht="12" customHeight="1">
      <c r="B74" s="6"/>
      <c r="C74" s="6"/>
      <c r="D74" s="6"/>
      <c r="E74" s="6"/>
      <c r="F74" s="6"/>
      <c r="G74" s="6"/>
      <c r="H74" s="6"/>
      <c r="I74" s="6"/>
      <c r="J74" s="6"/>
      <c r="K74" s="6"/>
      <c r="L74" s="6"/>
      <c r="M74" s="6"/>
      <c r="N74" s="6"/>
      <c r="O74" s="6"/>
      <c r="P74" s="6"/>
      <c r="Q74" s="2"/>
      <c r="R74" s="2"/>
    </row>
    <row r="75" spans="2:18" ht="15">
      <c r="B75" s="44" t="s">
        <v>49</v>
      </c>
      <c r="C75" s="45"/>
      <c r="D75" s="45"/>
      <c r="E75" s="45"/>
      <c r="F75" s="45"/>
      <c r="G75" s="45"/>
      <c r="H75" s="45"/>
      <c r="I75" s="45"/>
      <c r="J75" s="45"/>
      <c r="K75" s="45"/>
      <c r="L75" s="45"/>
      <c r="M75" s="45"/>
      <c r="N75" s="45"/>
      <c r="O75" s="45"/>
      <c r="P75" s="45"/>
      <c r="Q75" s="2"/>
      <c r="R75" s="2"/>
    </row>
    <row r="76" spans="2:18" ht="10.5" customHeight="1">
      <c r="B76" s="45"/>
      <c r="C76" s="45"/>
      <c r="D76" s="45"/>
      <c r="E76" s="45"/>
      <c r="F76" s="45"/>
      <c r="G76" s="45"/>
      <c r="H76" s="45"/>
      <c r="I76" s="45"/>
      <c r="J76" s="45"/>
      <c r="K76" s="45"/>
      <c r="L76" s="45"/>
      <c r="M76" s="45"/>
      <c r="N76" s="45"/>
      <c r="O76" s="45"/>
      <c r="P76" s="45"/>
      <c r="Q76" s="2"/>
      <c r="R76" s="2"/>
    </row>
    <row r="77" spans="2:18" ht="163.5" customHeight="1">
      <c r="B77" s="46" t="s">
        <v>50</v>
      </c>
      <c r="C77" s="278" t="s">
        <v>256</v>
      </c>
      <c r="D77" s="278"/>
      <c r="E77" s="278"/>
      <c r="F77" s="278"/>
      <c r="G77" s="278"/>
      <c r="H77" s="278"/>
      <c r="I77" s="278"/>
      <c r="J77" s="278"/>
      <c r="K77" s="278"/>
      <c r="L77" s="278"/>
      <c r="M77" s="278"/>
      <c r="N77" s="278"/>
      <c r="O77" s="278"/>
      <c r="P77" s="278"/>
      <c r="Q77" s="278"/>
      <c r="R77" s="2"/>
    </row>
    <row r="78" spans="2:18" ht="6.75" customHeight="1">
      <c r="B78" s="46"/>
      <c r="C78" s="217"/>
      <c r="D78" s="217"/>
      <c r="E78" s="217"/>
      <c r="F78" s="217"/>
      <c r="G78" s="217"/>
      <c r="H78" s="217"/>
      <c r="I78" s="217"/>
      <c r="J78" s="217"/>
      <c r="K78" s="217"/>
      <c r="L78" s="217"/>
      <c r="M78" s="217"/>
      <c r="N78" s="217"/>
      <c r="O78" s="217"/>
      <c r="P78" s="217"/>
      <c r="Q78" s="217"/>
      <c r="R78" s="2"/>
    </row>
    <row r="79" spans="2:18" ht="54.75" customHeight="1">
      <c r="B79" s="46" t="s">
        <v>51</v>
      </c>
      <c r="C79" s="273" t="s">
        <v>214</v>
      </c>
      <c r="D79" s="273"/>
      <c r="E79" s="273"/>
      <c r="F79" s="273"/>
      <c r="G79" s="273"/>
      <c r="H79" s="273"/>
      <c r="I79" s="273"/>
      <c r="J79" s="273"/>
      <c r="K79" s="273"/>
      <c r="L79" s="273"/>
      <c r="M79" s="273"/>
      <c r="N79" s="273"/>
      <c r="O79" s="273"/>
      <c r="P79" s="273"/>
      <c r="Q79" s="273"/>
      <c r="R79" s="2"/>
    </row>
    <row r="80" spans="2:18" ht="20.25" customHeight="1">
      <c r="B80" s="46" t="s">
        <v>52</v>
      </c>
      <c r="C80" s="273" t="s">
        <v>212</v>
      </c>
      <c r="D80" s="273"/>
      <c r="E80" s="273"/>
      <c r="F80" s="273"/>
      <c r="G80" s="273"/>
      <c r="H80" s="273"/>
      <c r="I80" s="273"/>
      <c r="J80" s="273"/>
      <c r="K80" s="273"/>
      <c r="L80" s="273"/>
      <c r="M80" s="273"/>
      <c r="N80" s="273"/>
      <c r="O80" s="273"/>
      <c r="P80" s="273"/>
      <c r="Q80" s="273"/>
      <c r="R80" s="2"/>
    </row>
    <row r="81" spans="2:18" ht="10.5" customHeight="1">
      <c r="B81" s="46"/>
      <c r="C81" s="273"/>
      <c r="D81" s="273"/>
      <c r="E81" s="273"/>
      <c r="F81" s="273"/>
      <c r="G81" s="273"/>
      <c r="H81" s="273"/>
      <c r="I81" s="273"/>
      <c r="J81" s="143"/>
      <c r="K81" s="143"/>
      <c r="L81" s="143"/>
      <c r="M81" s="143"/>
      <c r="N81" s="143"/>
      <c r="O81" s="143"/>
      <c r="P81" s="143"/>
      <c r="Q81" s="144"/>
      <c r="R81" s="2"/>
    </row>
    <row r="82" spans="2:18" ht="38.25" customHeight="1">
      <c r="B82" s="46" t="s">
        <v>54</v>
      </c>
      <c r="C82" s="273" t="s">
        <v>258</v>
      </c>
      <c r="D82" s="273"/>
      <c r="E82" s="273"/>
      <c r="F82" s="273"/>
      <c r="G82" s="273"/>
      <c r="H82" s="273"/>
      <c r="I82" s="273"/>
      <c r="J82" s="273"/>
      <c r="K82" s="273"/>
      <c r="L82" s="273"/>
      <c r="M82" s="273"/>
      <c r="N82" s="273"/>
      <c r="O82" s="273"/>
      <c r="P82" s="273"/>
      <c r="Q82" s="273"/>
      <c r="R82" s="2"/>
    </row>
    <row r="83" spans="2:18" ht="7.5" customHeight="1">
      <c r="B83" s="45"/>
      <c r="C83" s="145"/>
      <c r="D83" s="145"/>
      <c r="E83" s="145"/>
      <c r="F83" s="145"/>
      <c r="G83" s="145"/>
      <c r="H83" s="145"/>
      <c r="I83" s="145"/>
      <c r="J83" s="145"/>
      <c r="K83" s="145"/>
      <c r="L83" s="145"/>
      <c r="M83" s="145"/>
      <c r="N83" s="145"/>
      <c r="O83" s="145"/>
      <c r="P83" s="145"/>
      <c r="Q83" s="144"/>
      <c r="R83" s="2"/>
    </row>
    <row r="84" spans="2:18" ht="51.75" customHeight="1">
      <c r="B84" s="46" t="s">
        <v>55</v>
      </c>
      <c r="C84" s="273" t="s">
        <v>257</v>
      </c>
      <c r="D84" s="273"/>
      <c r="E84" s="273"/>
      <c r="F84" s="273"/>
      <c r="G84" s="273"/>
      <c r="H84" s="273"/>
      <c r="I84" s="273"/>
      <c r="J84" s="273"/>
      <c r="K84" s="273"/>
      <c r="L84" s="273"/>
      <c r="M84" s="273"/>
      <c r="N84" s="273"/>
      <c r="O84" s="273"/>
      <c r="P84" s="273"/>
      <c r="Q84" s="273"/>
      <c r="R84" s="2"/>
    </row>
    <row r="85" spans="2:18" ht="57.75" customHeight="1">
      <c r="B85" s="46" t="s">
        <v>160</v>
      </c>
      <c r="C85" s="273" t="s">
        <v>251</v>
      </c>
      <c r="D85" s="273"/>
      <c r="E85" s="273"/>
      <c r="F85" s="273"/>
      <c r="G85" s="273"/>
      <c r="H85" s="273"/>
      <c r="I85" s="273"/>
      <c r="J85" s="273"/>
      <c r="K85" s="273"/>
      <c r="L85" s="273"/>
      <c r="M85" s="273"/>
      <c r="N85" s="273"/>
      <c r="O85" s="273"/>
      <c r="P85" s="273"/>
      <c r="Q85" s="273"/>
      <c r="R85" s="2"/>
    </row>
    <row r="86" spans="2:20" ht="18.75" customHeight="1">
      <c r="B86" s="6"/>
      <c r="C86" s="6"/>
      <c r="D86" s="6"/>
      <c r="E86" s="6"/>
      <c r="F86" s="6"/>
      <c r="G86" s="6"/>
      <c r="H86" s="6"/>
      <c r="I86" s="6"/>
      <c r="J86" s="6"/>
      <c r="K86" s="6"/>
      <c r="L86" s="177" t="s">
        <v>56</v>
      </c>
      <c r="M86" s="177"/>
      <c r="N86" s="177"/>
      <c r="O86" s="177"/>
      <c r="P86" s="177"/>
      <c r="Q86" s="177"/>
      <c r="R86" s="177"/>
      <c r="S86" s="177"/>
      <c r="T86" s="177"/>
    </row>
    <row r="87" spans="2:20" ht="18.75">
      <c r="B87" s="6"/>
      <c r="J87" s="176"/>
      <c r="K87" s="176"/>
      <c r="L87" s="177"/>
      <c r="M87" s="177"/>
      <c r="N87" s="177"/>
      <c r="O87" s="177"/>
      <c r="P87" s="177"/>
      <c r="Q87" s="177"/>
      <c r="R87" s="177"/>
      <c r="S87" s="177"/>
      <c r="T87" s="177"/>
    </row>
    <row r="88" spans="2:20" ht="13.5" customHeight="1">
      <c r="B88" s="6"/>
      <c r="C88" s="6"/>
      <c r="D88" s="6"/>
      <c r="E88" s="6"/>
      <c r="F88" s="6"/>
      <c r="G88" s="6"/>
      <c r="H88" s="6"/>
      <c r="I88" s="6"/>
      <c r="J88" s="6"/>
      <c r="K88" s="6"/>
      <c r="L88" s="177"/>
      <c r="M88" s="177"/>
      <c r="N88" s="177"/>
      <c r="O88" s="177"/>
      <c r="P88" s="177"/>
      <c r="Q88" s="177"/>
      <c r="R88" s="177"/>
      <c r="S88" s="177"/>
      <c r="T88" s="177"/>
    </row>
    <row r="89" spans="2:20" ht="13.5" customHeight="1">
      <c r="B89" s="6"/>
      <c r="C89" s="6"/>
      <c r="D89" s="6"/>
      <c r="E89" s="6"/>
      <c r="F89" s="6"/>
      <c r="G89" s="6"/>
      <c r="H89" s="6"/>
      <c r="I89" s="6"/>
      <c r="J89" s="6"/>
      <c r="K89" s="6"/>
      <c r="L89" s="177"/>
      <c r="M89" s="177"/>
      <c r="N89" s="177"/>
      <c r="O89" s="177"/>
      <c r="P89" s="177"/>
      <c r="Q89" s="177"/>
      <c r="R89" s="177"/>
      <c r="S89" s="177"/>
      <c r="T89" s="177"/>
    </row>
    <row r="90" spans="2:20" ht="18.75">
      <c r="B90" s="6"/>
      <c r="C90" s="6"/>
      <c r="D90" s="272" t="s">
        <v>159</v>
      </c>
      <c r="E90" s="272"/>
      <c r="F90" s="272"/>
      <c r="G90" s="272"/>
      <c r="H90" s="272"/>
      <c r="I90" s="272"/>
      <c r="J90" s="146"/>
      <c r="K90" s="146"/>
      <c r="L90" s="274" t="s">
        <v>213</v>
      </c>
      <c r="M90" s="274"/>
      <c r="N90" s="274"/>
      <c r="O90" s="274"/>
      <c r="P90" s="274"/>
      <c r="Q90" s="274"/>
      <c r="R90" s="274"/>
      <c r="S90" s="274"/>
      <c r="T90" s="274"/>
    </row>
    <row r="91" spans="2:20" ht="18.75">
      <c r="B91" s="6"/>
      <c r="C91" s="147" t="s">
        <v>250</v>
      </c>
      <c r="D91" s="272" t="s">
        <v>158</v>
      </c>
      <c r="E91" s="272"/>
      <c r="F91" s="272"/>
      <c r="G91" s="272"/>
      <c r="H91" s="272"/>
      <c r="I91" s="272"/>
      <c r="J91" s="146"/>
      <c r="K91" s="146"/>
      <c r="L91" s="274" t="s">
        <v>184</v>
      </c>
      <c r="M91" s="274"/>
      <c r="N91" s="274"/>
      <c r="O91" s="274"/>
      <c r="P91" s="274"/>
      <c r="Q91" s="274"/>
      <c r="R91" s="274"/>
      <c r="S91" s="274"/>
      <c r="T91" s="274"/>
    </row>
    <row r="92" spans="1:17" ht="15">
      <c r="A92" s="51"/>
      <c r="B92" s="6"/>
      <c r="C92" s="6"/>
      <c r="D92" s="6"/>
      <c r="E92" s="6"/>
      <c r="F92" s="6"/>
      <c r="G92" s="6"/>
      <c r="H92" s="6"/>
      <c r="I92" s="6"/>
      <c r="J92" s="6"/>
      <c r="K92" s="6"/>
      <c r="L92" s="6"/>
      <c r="M92" s="6"/>
      <c r="N92" s="6"/>
      <c r="O92" s="6"/>
      <c r="P92" s="6"/>
      <c r="Q92" s="51"/>
    </row>
  </sheetData>
  <sheetProtection/>
  <mergeCells count="15">
    <mergeCell ref="D91:I91"/>
    <mergeCell ref="C79:Q79"/>
    <mergeCell ref="C80:Q80"/>
    <mergeCell ref="D90:I90"/>
    <mergeCell ref="C82:Q82"/>
    <mergeCell ref="C85:Q85"/>
    <mergeCell ref="C84:Q84"/>
    <mergeCell ref="L90:T90"/>
    <mergeCell ref="L91:T91"/>
    <mergeCell ref="B3:Q3"/>
    <mergeCell ref="B17:Q17"/>
    <mergeCell ref="B18:Q18"/>
    <mergeCell ref="C81:I81"/>
    <mergeCell ref="B4:Q4"/>
    <mergeCell ref="C77:Q77"/>
  </mergeCells>
  <printOptions/>
  <pageMargins left="1" right="0.25" top="0.5" bottom="0" header="0.25" footer="0.25"/>
  <pageSetup fitToHeight="1" fitToWidth="1" horizontalDpi="300" verticalDpi="300" orientation="portrait" paperSize="9" scale="49" r:id="rId1"/>
</worksheet>
</file>

<file path=xl/worksheets/sheet5.xml><?xml version="1.0" encoding="utf-8"?>
<worksheet xmlns="http://schemas.openxmlformats.org/spreadsheetml/2006/main" xmlns:r="http://schemas.openxmlformats.org/officeDocument/2006/relationships">
  <dimension ref="B1:L71"/>
  <sheetViews>
    <sheetView zoomScalePageLayoutView="0" workbookViewId="0" topLeftCell="A1">
      <selection activeCell="E26" sqref="E26:E28"/>
    </sheetView>
  </sheetViews>
  <sheetFormatPr defaultColWidth="10.28125" defaultRowHeight="12.75"/>
  <cols>
    <col min="1" max="1" width="9.140625" style="84" customWidth="1"/>
    <col min="2" max="2" width="36.421875" style="84" customWidth="1"/>
    <col min="3" max="3" width="15.8515625" style="84" hidden="1" customWidth="1"/>
    <col min="4" max="4" width="10.421875" style="84" hidden="1" customWidth="1"/>
    <col min="5" max="5" width="13.57421875" style="84" customWidth="1"/>
    <col min="6" max="6" width="11.140625" style="84" customWidth="1"/>
    <col min="7" max="7" width="13.00390625" style="84" customWidth="1"/>
    <col min="8" max="8" width="11.57421875" style="84" customWidth="1"/>
    <col min="9" max="9" width="6.8515625" style="84" customWidth="1"/>
    <col min="10" max="10" width="19.421875" style="84" customWidth="1"/>
    <col min="11" max="16384" width="10.28125" style="84" customWidth="1"/>
  </cols>
  <sheetData>
    <row r="1" spans="2:6" ht="12.75">
      <c r="B1" s="85" t="s">
        <v>64</v>
      </c>
      <c r="C1" s="86"/>
      <c r="D1" s="86"/>
      <c r="E1" s="86"/>
      <c r="F1" s="86"/>
    </row>
    <row r="2" spans="2:6" ht="12.75">
      <c r="B2" s="85"/>
      <c r="C2" s="86"/>
      <c r="D2" s="86"/>
      <c r="E2" s="86"/>
      <c r="F2" s="86"/>
    </row>
    <row r="3" spans="2:6" ht="12.75">
      <c r="B3" s="85" t="s">
        <v>163</v>
      </c>
      <c r="D3" s="86"/>
      <c r="E3" s="86"/>
      <c r="F3" s="86"/>
    </row>
    <row r="4" spans="2:6" ht="12.75">
      <c r="B4" s="87"/>
      <c r="C4" s="87"/>
      <c r="D4" s="87"/>
      <c r="E4" s="86"/>
      <c r="F4" s="86"/>
    </row>
    <row r="5" spans="2:8" ht="12.75">
      <c r="B5" s="88"/>
      <c r="C5" s="281" t="s">
        <v>95</v>
      </c>
      <c r="D5" s="282"/>
      <c r="E5" s="283" t="s">
        <v>96</v>
      </c>
      <c r="F5" s="284"/>
      <c r="G5" s="283" t="s">
        <v>96</v>
      </c>
      <c r="H5" s="284"/>
    </row>
    <row r="6" spans="2:8" ht="12.75">
      <c r="B6" s="89"/>
      <c r="C6" s="90" t="s">
        <v>97</v>
      </c>
      <c r="D6" s="91"/>
      <c r="E6" s="92" t="s">
        <v>164</v>
      </c>
      <c r="F6" s="93"/>
      <c r="G6" s="92" t="s">
        <v>165</v>
      </c>
      <c r="H6" s="93"/>
    </row>
    <row r="7" spans="2:8" ht="12.75">
      <c r="B7" s="90" t="s">
        <v>12</v>
      </c>
      <c r="C7" s="94" t="s">
        <v>99</v>
      </c>
      <c r="D7" s="95" t="s">
        <v>100</v>
      </c>
      <c r="E7" s="94" t="s">
        <v>99</v>
      </c>
      <c r="F7" s="96" t="s">
        <v>100</v>
      </c>
      <c r="G7" s="94" t="s">
        <v>99</v>
      </c>
      <c r="H7" s="96" t="s">
        <v>100</v>
      </c>
    </row>
    <row r="8" spans="2:8" ht="12.75">
      <c r="B8" s="98"/>
      <c r="C8" s="99" t="s">
        <v>101</v>
      </c>
      <c r="D8" s="100"/>
      <c r="E8" s="99" t="s">
        <v>101</v>
      </c>
      <c r="F8" s="101"/>
      <c r="G8" s="99" t="s">
        <v>101</v>
      </c>
      <c r="H8" s="101"/>
    </row>
    <row r="9" spans="2:8" ht="12.75">
      <c r="B9" s="89"/>
      <c r="C9" s="89"/>
      <c r="D9" s="103"/>
      <c r="E9" s="88"/>
      <c r="F9" s="104"/>
      <c r="G9" s="89"/>
      <c r="H9" s="105"/>
    </row>
    <row r="10" spans="2:12" ht="12.75">
      <c r="B10" s="90" t="s">
        <v>102</v>
      </c>
      <c r="C10" s="106">
        <v>19512.38</v>
      </c>
      <c r="D10" s="107">
        <f>C10/$C$22*100</f>
        <v>98.98540916926318</v>
      </c>
      <c r="E10" s="106">
        <f>+'GMD DEC 07 VS DEC 08'!E10+'FCKD DEC 07 VS DEC 08'!P10-924.59</f>
        <v>24216.16707</v>
      </c>
      <c r="F10" s="108">
        <f>E10/$E$22*100</f>
        <v>95.56734146668207</v>
      </c>
      <c r="G10" s="106">
        <f>+'GMD DEC 07 VS DEC 08'!G10+'FCKD DEC 07 VS DEC 08'!R10-976.96</f>
        <v>19691.3</v>
      </c>
      <c r="H10" s="108">
        <f>+G10/$G$22*100</f>
        <v>94.53554378593458</v>
      </c>
      <c r="J10" s="133"/>
      <c r="L10" s="1"/>
    </row>
    <row r="11" spans="2:12" ht="12.75">
      <c r="B11" s="90"/>
      <c r="C11" s="106"/>
      <c r="D11" s="107"/>
      <c r="E11" s="106"/>
      <c r="F11" s="108"/>
      <c r="G11" s="106"/>
      <c r="H11" s="108"/>
      <c r="L11" s="1"/>
    </row>
    <row r="12" spans="2:12" ht="12.75">
      <c r="B12" s="90" t="s">
        <v>103</v>
      </c>
      <c r="C12" s="106">
        <v>0</v>
      </c>
      <c r="D12" s="107">
        <f>C12/$C$22*100</f>
        <v>0</v>
      </c>
      <c r="E12" s="106">
        <f>+'GMD DEC 07 VS DEC 08'!E12+'FCKD DEC 07 VS DEC 08'!P12</f>
        <v>176.35</v>
      </c>
      <c r="F12" s="108">
        <f>E12/$E$22*100</f>
        <v>0.6959524444530263</v>
      </c>
      <c r="G12" s="106">
        <f>+'GMD DEC 07 VS DEC 08'!G12+'FCKD DEC 07 VS DEC 08'!R12-35.49</f>
        <v>282.58000000000004</v>
      </c>
      <c r="H12" s="108">
        <f>+G12/$G$22*100</f>
        <v>1.3566323179794832</v>
      </c>
      <c r="J12" s="133"/>
      <c r="K12" s="84">
        <v>924.59</v>
      </c>
      <c r="L12" s="1"/>
    </row>
    <row r="13" spans="2:12" ht="12.75">
      <c r="B13" s="90"/>
      <c r="C13" s="106"/>
      <c r="D13" s="107"/>
      <c r="E13" s="106"/>
      <c r="F13" s="108"/>
      <c r="G13" s="106"/>
      <c r="H13" s="108"/>
      <c r="J13" s="133"/>
      <c r="K13" s="84">
        <v>24448.44</v>
      </c>
      <c r="L13" s="1"/>
    </row>
    <row r="14" spans="2:12" ht="12.75">
      <c r="B14" s="90" t="s">
        <v>104</v>
      </c>
      <c r="C14" s="106">
        <v>0</v>
      </c>
      <c r="D14" s="107">
        <f>C14/$C$22*100</f>
        <v>0</v>
      </c>
      <c r="E14" s="106">
        <f>+'GMD DEC 07 VS DEC 08'!E14+'FCKD DEC 07 VS DEC 08'!P14</f>
        <v>55.92</v>
      </c>
      <c r="F14" s="108">
        <f>E14/$E$22*100</f>
        <v>0.22068421147611703</v>
      </c>
      <c r="G14" s="106">
        <f>+'GMD DEC 07 VS DEC 08'!G14+'FCKD DEC 07 VS DEC 08'!R14-2.66</f>
        <v>67.62</v>
      </c>
      <c r="H14" s="108">
        <f>+G14/$G$22*100</f>
        <v>0.32463542126750883</v>
      </c>
      <c r="J14" s="133"/>
      <c r="K14" s="84">
        <f>+K13+K12</f>
        <v>25373.03</v>
      </c>
      <c r="L14" s="1"/>
    </row>
    <row r="15" spans="2:8" ht="12.75">
      <c r="B15" s="90"/>
      <c r="C15" s="106"/>
      <c r="D15" s="107"/>
      <c r="E15" s="106"/>
      <c r="F15" s="108"/>
      <c r="G15" s="106"/>
      <c r="H15" s="108"/>
    </row>
    <row r="16" spans="2:8" ht="12.75">
      <c r="B16" s="90" t="s">
        <v>105</v>
      </c>
      <c r="C16" s="106">
        <v>200</v>
      </c>
      <c r="D16" s="107">
        <f>C16/$C$22*100</f>
        <v>1.0145908307368263</v>
      </c>
      <c r="E16" s="106">
        <f>+'GMD DEC 07 VS DEC 08'!E16+'FCKD DEC 07 VS DEC 08'!P16</f>
        <v>773.00998</v>
      </c>
      <c r="F16" s="108">
        <f>E16/$E$22*100</f>
        <v>3.0506276448402896</v>
      </c>
      <c r="G16" s="106">
        <f>+'GMD DEC 07 VS DEC 08'!G16+'FCKD DEC 07 VS DEC 08'!R16</f>
        <v>665.44</v>
      </c>
      <c r="H16" s="108">
        <f>+G16/$G$22*100</f>
        <v>3.194696757294455</v>
      </c>
    </row>
    <row r="17" spans="2:8" ht="12.75">
      <c r="B17" s="90"/>
      <c r="C17" s="106"/>
      <c r="D17" s="107"/>
      <c r="E17" s="106"/>
      <c r="F17" s="108"/>
      <c r="G17" s="106"/>
      <c r="H17" s="108"/>
    </row>
    <row r="18" spans="2:8" ht="12.75">
      <c r="B18" s="109" t="s">
        <v>106</v>
      </c>
      <c r="C18" s="106">
        <v>0</v>
      </c>
      <c r="D18" s="107">
        <f>C18/$C$22*100</f>
        <v>0</v>
      </c>
      <c r="E18" s="106">
        <f>+'GMD DEC 07 VS DEC 08'!E18+'FCKD DEC 07 VS DEC 08'!P18</f>
        <v>12.92799</v>
      </c>
      <c r="F18" s="108">
        <f>E18/$E$22*100</f>
        <v>0.05101937194422614</v>
      </c>
      <c r="G18" s="106">
        <f>+'GMD DEC 07 VS DEC 08'!G18+'FCKD DEC 07 VS DEC 08'!R18</f>
        <v>30.4</v>
      </c>
      <c r="H18" s="108">
        <f>+G18/$G$22*100</f>
        <v>0.1459467140865464</v>
      </c>
    </row>
    <row r="19" spans="2:8" ht="12.75">
      <c r="B19" s="90"/>
      <c r="C19" s="106"/>
      <c r="D19" s="107"/>
      <c r="E19" s="106"/>
      <c r="F19" s="108"/>
      <c r="G19" s="106"/>
      <c r="H19" s="108"/>
    </row>
    <row r="20" spans="2:8" ht="12.75">
      <c r="B20" s="90" t="s">
        <v>107</v>
      </c>
      <c r="C20" s="106">
        <v>0</v>
      </c>
      <c r="D20" s="107">
        <f>C20/$C$22*100</f>
        <v>0</v>
      </c>
      <c r="E20" s="106">
        <f>+'GMD DEC 07 VS DEC 08'!E20+'FCKD DEC 07 VS DEC 08'!P20</f>
        <v>105</v>
      </c>
      <c r="F20" s="108">
        <f>E20/$E$22*100</f>
        <v>0.41437486060429696</v>
      </c>
      <c r="G20" s="106">
        <f>+'GMD DEC 07 VS DEC 08'!G20+'FCKD DEC 07 VS DEC 08'!R20</f>
        <v>92.17999999999999</v>
      </c>
      <c r="H20" s="108">
        <f>+G20/$G$22*100</f>
        <v>0.44254500343742914</v>
      </c>
    </row>
    <row r="21" spans="2:8" ht="12.75">
      <c r="B21" s="89"/>
      <c r="C21" s="106"/>
      <c r="D21" s="107"/>
      <c r="E21" s="106"/>
      <c r="F21" s="108"/>
      <c r="G21" s="106"/>
      <c r="H21" s="108"/>
    </row>
    <row r="22" spans="2:8" ht="12.75">
      <c r="B22" s="92" t="s">
        <v>71</v>
      </c>
      <c r="C22" s="110">
        <f>SUM(C10:C20)</f>
        <v>19712.38</v>
      </c>
      <c r="D22" s="111">
        <f>C22/$C$22*100</f>
        <v>100</v>
      </c>
      <c r="E22" s="110">
        <f>SUM(E10:E20)</f>
        <v>25339.375039999995</v>
      </c>
      <c r="F22" s="112">
        <f>E22/$E$22*100</f>
        <v>100</v>
      </c>
      <c r="G22" s="110">
        <f>SUM(G10:G20)</f>
        <v>20829.52</v>
      </c>
      <c r="H22" s="112">
        <v>100</v>
      </c>
    </row>
    <row r="23" spans="2:8" ht="12.75">
      <c r="B23" s="89"/>
      <c r="C23" s="106"/>
      <c r="D23" s="107"/>
      <c r="E23" s="106"/>
      <c r="F23" s="108"/>
      <c r="G23" s="106"/>
      <c r="H23" s="108"/>
    </row>
    <row r="24" spans="2:8" ht="12.75">
      <c r="B24" s="90" t="s">
        <v>108</v>
      </c>
      <c r="C24" s="106"/>
      <c r="D24" s="107"/>
      <c r="E24" s="106"/>
      <c r="F24" s="108"/>
      <c r="G24" s="106"/>
      <c r="H24" s="108"/>
    </row>
    <row r="25" spans="2:8" ht="12.75">
      <c r="B25" s="90"/>
      <c r="C25" s="106"/>
      <c r="D25" s="107"/>
      <c r="E25" s="106"/>
      <c r="F25" s="108"/>
      <c r="G25" s="106"/>
      <c r="H25" s="108"/>
    </row>
    <row r="26" spans="2:8" ht="12.75">
      <c r="B26" s="90" t="s">
        <v>109</v>
      </c>
      <c r="C26" s="106">
        <f>10584.98</f>
        <v>10584.98</v>
      </c>
      <c r="D26" s="107">
        <f>C26/$C$22*100</f>
        <v>53.697118257663455</v>
      </c>
      <c r="E26" s="106">
        <f>+'GMD DEC 07 VS DEC 08'!E26+'FCKD DEC 07 VS DEC 08'!P26-924.59</f>
        <v>14024.11751</v>
      </c>
      <c r="F26" s="108">
        <f>E26/$E$22*100</f>
        <v>55.345159412424096</v>
      </c>
      <c r="G26" s="106">
        <f>+'GMD DEC 07 VS DEC 08'!G26+'FCKD DEC 07 VS DEC 08'!R26-976.96</f>
        <v>10953.23</v>
      </c>
      <c r="H26" s="108">
        <f>+G26/$G$22*100</f>
        <v>52.58512918204548</v>
      </c>
    </row>
    <row r="27" spans="2:8" ht="12.75">
      <c r="B27" s="90"/>
      <c r="C27" s="106"/>
      <c r="D27" s="107"/>
      <c r="E27" s="106"/>
      <c r="F27" s="108"/>
      <c r="G27" s="106"/>
      <c r="H27" s="108"/>
    </row>
    <row r="28" spans="2:8" ht="12.75">
      <c r="B28" s="90" t="s">
        <v>110</v>
      </c>
      <c r="C28" s="106">
        <v>546.37</v>
      </c>
      <c r="D28" s="107">
        <f>C28/$C$22*100</f>
        <v>2.771709960948399</v>
      </c>
      <c r="E28" s="106">
        <f>+'GMD DEC 07 VS DEC 08'!E28+'FCKD DEC 07 VS DEC 08'!P28</f>
        <v>190.95</v>
      </c>
      <c r="F28" s="108">
        <f>E28/$E$22*100</f>
        <v>0.7535702822132428</v>
      </c>
      <c r="G28" s="106">
        <f>+'GMD DEC 07 VS DEC 08'!G28+'FCKD DEC 07 VS DEC 08'!R28</f>
        <v>11.57</v>
      </c>
      <c r="H28" s="108">
        <f>+G28/$G$22*100</f>
        <v>0.05554616717043888</v>
      </c>
    </row>
    <row r="29" spans="2:8" ht="12.75">
      <c r="B29" s="90"/>
      <c r="C29" s="106"/>
      <c r="D29" s="107"/>
      <c r="E29" s="106"/>
      <c r="F29" s="108"/>
      <c r="G29" s="106"/>
      <c r="H29" s="108"/>
    </row>
    <row r="30" spans="2:8" ht="12.75">
      <c r="B30" s="90" t="s">
        <v>111</v>
      </c>
      <c r="C30" s="106">
        <v>0</v>
      </c>
      <c r="D30" s="107">
        <f>C30/$C$22*100</f>
        <v>0</v>
      </c>
      <c r="E30" s="106">
        <f>+'GMD DEC 07 VS DEC 08'!E30+'FCKD DEC 07 VS DEC 08'!P30</f>
        <v>136.23000000000002</v>
      </c>
      <c r="F30" s="108">
        <f>E30/$E$22*100</f>
        <v>0.5376217834297465</v>
      </c>
      <c r="G30" s="106">
        <f>+'GMD DEC 07 VS DEC 08'!G30+'FCKD DEC 07 VS DEC 08'!R30-35.49</f>
        <v>257.77</v>
      </c>
      <c r="H30" s="108">
        <f>+G30/$G$22*100</f>
        <v>1.2375225161213508</v>
      </c>
    </row>
    <row r="31" spans="2:8" ht="12.75">
      <c r="B31" s="90"/>
      <c r="C31" s="106"/>
      <c r="D31" s="107"/>
      <c r="E31" s="106"/>
      <c r="F31" s="108"/>
      <c r="G31" s="106"/>
      <c r="H31" s="108"/>
    </row>
    <row r="32" spans="2:8" ht="12.75">
      <c r="B32" s="90" t="s">
        <v>112</v>
      </c>
      <c r="C32" s="106">
        <v>0</v>
      </c>
      <c r="D32" s="107">
        <f>C32/$C$22*100</f>
        <v>0</v>
      </c>
      <c r="E32" s="106">
        <f>+'GMD DEC 07 VS DEC 08'!E32+'FCKD DEC 07 VS DEC 08'!P32</f>
        <v>-2050.71574</v>
      </c>
      <c r="F32" s="108">
        <f>E32/$E$22*100</f>
        <v>-8.093000465728931</v>
      </c>
      <c r="G32" s="106">
        <f>+'GMD DEC 07 VS DEC 08'!G32+'FCKD DEC 07 VS DEC 08'!R32</f>
        <v>-811.42</v>
      </c>
      <c r="H32" s="108">
        <f>+G32/$G$22*100</f>
        <v>-3.895529037635048</v>
      </c>
    </row>
    <row r="33" spans="2:8" ht="12.75">
      <c r="B33" s="90"/>
      <c r="C33" s="106"/>
      <c r="D33" s="107"/>
      <c r="E33" s="106"/>
      <c r="F33" s="108"/>
      <c r="G33" s="106"/>
      <c r="H33" s="108"/>
    </row>
    <row r="34" spans="2:8" ht="12.75">
      <c r="B34" s="90" t="s">
        <v>113</v>
      </c>
      <c r="C34" s="106">
        <v>540.18</v>
      </c>
      <c r="D34" s="107">
        <f>C34/$C$22*100</f>
        <v>2.7403083747370935</v>
      </c>
      <c r="E34" s="106">
        <f>+'GMD DEC 07 VS DEC 08'!E34+'FCKD DEC 07 VS DEC 08'!P34</f>
        <v>1185.86921</v>
      </c>
      <c r="F34" s="108">
        <f>E34/$E$22*100</f>
        <v>4.6799465579874076</v>
      </c>
      <c r="G34" s="106">
        <f>+'GMD DEC 07 VS DEC 08'!G34+'FCKD DEC 07 VS DEC 08'!R34</f>
        <v>1242.31</v>
      </c>
      <c r="H34" s="108">
        <f>+G34/$G$22*100</f>
        <v>5.964179683449259</v>
      </c>
    </row>
    <row r="35" spans="2:8" ht="12.75">
      <c r="B35" s="90"/>
      <c r="C35" s="106"/>
      <c r="D35" s="107"/>
      <c r="E35" s="106"/>
      <c r="F35" s="108"/>
      <c r="G35" s="106"/>
      <c r="H35" s="108"/>
    </row>
    <row r="36" spans="2:8" ht="12.75">
      <c r="B36" s="90" t="s">
        <v>114</v>
      </c>
      <c r="C36" s="106">
        <v>437.4</v>
      </c>
      <c r="D36" s="107">
        <f>C36/$C$22*100</f>
        <v>2.218910146821439</v>
      </c>
      <c r="E36" s="106">
        <f>+'GMD DEC 07 VS DEC 08'!E36+'FCKD DEC 07 VS DEC 08'!P36</f>
        <v>721.9593600000001</v>
      </c>
      <c r="F36" s="108">
        <f>E36/$E$22*100</f>
        <v>2.8491600872568332</v>
      </c>
      <c r="G36" s="106">
        <f>+'GMD DEC 07 VS DEC 08'!G36+'FCKD DEC 07 VS DEC 08'!R36</f>
        <v>509.76</v>
      </c>
      <c r="H36" s="108">
        <f>+G36/$G$22*100</f>
        <v>2.4472959530512464</v>
      </c>
    </row>
    <row r="37" spans="2:8" ht="12.75">
      <c r="B37" s="90"/>
      <c r="C37" s="106"/>
      <c r="D37" s="107"/>
      <c r="E37" s="106"/>
      <c r="F37" s="108"/>
      <c r="G37" s="106"/>
      <c r="H37" s="108"/>
    </row>
    <row r="38" spans="2:8" ht="12.75">
      <c r="B38" s="90" t="s">
        <v>115</v>
      </c>
      <c r="C38" s="106">
        <v>121.75</v>
      </c>
      <c r="D38" s="107">
        <f>C38/$C$22*100</f>
        <v>0.617632168211043</v>
      </c>
      <c r="E38" s="106">
        <f>+'GMD DEC 07 VS DEC 08'!E38+'FCKD DEC 07 VS DEC 08'!P38</f>
        <v>275.0194699999999</v>
      </c>
      <c r="F38" s="108">
        <f>E38/$E$22*100</f>
        <v>1.0853443289973104</v>
      </c>
      <c r="G38" s="106">
        <f>+'GMD DEC 07 VS DEC 08'!G38+'FCKD DEC 07 VS DEC 08'!R38</f>
        <v>139.01999999999987</v>
      </c>
      <c r="H38" s="108">
        <f>+G38/$G$22*100</f>
        <v>0.6674181642207783</v>
      </c>
    </row>
    <row r="39" spans="2:8" ht="12.75">
      <c r="B39" s="90"/>
      <c r="C39" s="106"/>
      <c r="D39" s="107"/>
      <c r="E39" s="106"/>
      <c r="F39" s="108"/>
      <c r="G39" s="106"/>
      <c r="H39" s="108"/>
    </row>
    <row r="40" spans="2:8" ht="12.75">
      <c r="B40" s="90" t="s">
        <v>116</v>
      </c>
      <c r="C40" s="106">
        <v>21.4</v>
      </c>
      <c r="D40" s="107">
        <f>C40/$C$22*100</f>
        <v>0.10856121888884039</v>
      </c>
      <c r="E40" s="106">
        <f>+'GMD DEC 07 VS DEC 08'!E40+'FCKD DEC 07 VS DEC 08'!P40</f>
        <v>149.95562999999999</v>
      </c>
      <c r="F40" s="108">
        <f>E40/$E$22*100</f>
        <v>0.5917889836007574</v>
      </c>
      <c r="G40" s="106">
        <f>+'GMD DEC 07 VS DEC 08'!G40+'FCKD DEC 07 VS DEC 08'!R40</f>
        <v>149.93</v>
      </c>
      <c r="H40" s="108">
        <f>+G40/$G$22*100</f>
        <v>0.7197957514143389</v>
      </c>
    </row>
    <row r="41" spans="2:8" ht="12.75">
      <c r="B41" s="90"/>
      <c r="C41" s="106"/>
      <c r="D41" s="107"/>
      <c r="E41" s="106"/>
      <c r="F41" s="108"/>
      <c r="G41" s="106"/>
      <c r="H41" s="108"/>
    </row>
    <row r="42" spans="2:8" ht="12.75">
      <c r="B42" s="90" t="s">
        <v>117</v>
      </c>
      <c r="C42" s="106">
        <v>1942.93</v>
      </c>
      <c r="D42" s="107">
        <f>C42/$C$22*100</f>
        <v>9.85639481381751</v>
      </c>
      <c r="E42" s="106">
        <f>+'GMD DEC 07 VS DEC 08'!E42+'FCKD DEC 07 VS DEC 08'!P42</f>
        <v>3107.69</v>
      </c>
      <c r="F42" s="108">
        <f>E42/$E$22*100</f>
        <v>12.264272481441598</v>
      </c>
      <c r="G42" s="106">
        <f>+'GMD DEC 07 VS DEC 08'!G42+'FCKD DEC 07 VS DEC 08'!R42</f>
        <v>2051.93</v>
      </c>
      <c r="H42" s="108">
        <f>+G42/$G$22*100</f>
        <v>9.851067139329182</v>
      </c>
    </row>
    <row r="43" spans="2:8" ht="12.75">
      <c r="B43" s="90"/>
      <c r="C43" s="106"/>
      <c r="D43" s="107"/>
      <c r="E43" s="106"/>
      <c r="F43" s="108"/>
      <c r="G43" s="106"/>
      <c r="H43" s="108"/>
    </row>
    <row r="44" spans="2:8" ht="12.75">
      <c r="B44" s="90" t="s">
        <v>118</v>
      </c>
      <c r="C44" s="106">
        <v>457.57</v>
      </c>
      <c r="D44" s="107">
        <f>C44/$C$22*100</f>
        <v>2.321231632101248</v>
      </c>
      <c r="E44" s="106">
        <f>+'GMD DEC 07 VS DEC 08'!E44+'FCKD DEC 07 VS DEC 08'!P44</f>
        <v>627.7518699999999</v>
      </c>
      <c r="F44" s="108">
        <f>E44/$E$22*100</f>
        <v>2.477377082146064</v>
      </c>
      <c r="G44" s="106">
        <f>+'GMD DEC 07 VS DEC 08'!G44+'FCKD DEC 07 VS DEC 08'!R44</f>
        <v>481.34000000000003</v>
      </c>
      <c r="H44" s="108">
        <f>+G44/$G$22*100</f>
        <v>2.310854978895337</v>
      </c>
    </row>
    <row r="45" spans="2:8" ht="12.75">
      <c r="B45" s="90"/>
      <c r="C45" s="106"/>
      <c r="D45" s="107"/>
      <c r="E45" s="106"/>
      <c r="F45" s="108"/>
      <c r="G45" s="106"/>
      <c r="H45" s="108"/>
    </row>
    <row r="46" spans="2:8" ht="12.75">
      <c r="B46" s="90" t="s">
        <v>119</v>
      </c>
      <c r="C46" s="106">
        <f>536.3+289.64</f>
        <v>825.9399999999999</v>
      </c>
      <c r="D46" s="107">
        <f>C46/$C$22*100</f>
        <v>4.189955753693871</v>
      </c>
      <c r="E46" s="106">
        <f>+'GMD DEC 07 VS DEC 08'!E46+'FCKD DEC 07 VS DEC 08'!P46</f>
        <v>1040.5688</v>
      </c>
      <c r="F46" s="108">
        <f>E46/$E$22*100</f>
        <v>4.106529061420767</v>
      </c>
      <c r="G46" s="106">
        <f>+'GMD DEC 07 VS DEC 08'!G46+'FCKD DEC 07 VS DEC 08'!R46</f>
        <v>1061.9</v>
      </c>
      <c r="H46" s="108">
        <f>+G46/$G$22*100</f>
        <v>5.098053147648146</v>
      </c>
    </row>
    <row r="47" spans="2:8" ht="12.75">
      <c r="B47" s="90"/>
      <c r="C47" s="106"/>
      <c r="D47" s="107"/>
      <c r="E47" s="106"/>
      <c r="F47" s="108"/>
      <c r="G47" s="106"/>
      <c r="H47" s="108"/>
    </row>
    <row r="48" spans="2:8" ht="12.75">
      <c r="B48" s="92" t="s">
        <v>120</v>
      </c>
      <c r="C48" s="110">
        <f>SUM(C26:C47)</f>
        <v>15478.52</v>
      </c>
      <c r="D48" s="111">
        <f>C48/$C$22*100</f>
        <v>78.52182232688291</v>
      </c>
      <c r="E48" s="110">
        <f>SUM(E26:E47)</f>
        <v>19409.39611</v>
      </c>
      <c r="F48" s="112">
        <f>E48/$E$22*100</f>
        <v>76.59776959518891</v>
      </c>
      <c r="G48" s="110">
        <f>SUM(G26:G47)</f>
        <v>16047.34</v>
      </c>
      <c r="H48" s="112">
        <f>+G48/$G$22*100</f>
        <v>77.04133364571051</v>
      </c>
    </row>
    <row r="49" spans="2:8" ht="12.75">
      <c r="B49" s="90"/>
      <c r="C49" s="106"/>
      <c r="D49" s="107"/>
      <c r="E49" s="106"/>
      <c r="F49" s="108"/>
      <c r="G49" s="106"/>
      <c r="H49" s="108"/>
    </row>
    <row r="50" spans="2:8" ht="12.75">
      <c r="B50" s="92" t="s">
        <v>121</v>
      </c>
      <c r="C50" s="110">
        <f>C22-C48</f>
        <v>4233.860000000001</v>
      </c>
      <c r="D50" s="111">
        <f>C50/$C$22*100</f>
        <v>21.4781776731171</v>
      </c>
      <c r="E50" s="110">
        <f>E22-E48</f>
        <v>5929.978929999994</v>
      </c>
      <c r="F50" s="112">
        <f>E50/$E$22*100</f>
        <v>23.4022304048111</v>
      </c>
      <c r="G50" s="110">
        <f>G22-G48</f>
        <v>4782.18</v>
      </c>
      <c r="H50" s="112">
        <f>+G50/$G$22*100</f>
        <v>22.958666354289488</v>
      </c>
    </row>
    <row r="51" spans="2:8" ht="12.75">
      <c r="B51" s="90"/>
      <c r="C51" s="106"/>
      <c r="D51" s="107"/>
      <c r="E51" s="106"/>
      <c r="F51" s="108"/>
      <c r="G51" s="106"/>
      <c r="H51" s="108"/>
    </row>
    <row r="52" spans="2:8" ht="12.75">
      <c r="B52" s="90" t="s">
        <v>122</v>
      </c>
      <c r="C52" s="106"/>
      <c r="D52" s="107"/>
      <c r="E52" s="106"/>
      <c r="F52" s="108"/>
      <c r="G52" s="106"/>
      <c r="H52" s="108"/>
    </row>
    <row r="53" spans="2:10" ht="12.75">
      <c r="B53" s="90"/>
      <c r="C53" s="106"/>
      <c r="D53" s="107"/>
      <c r="E53" s="106"/>
      <c r="F53" s="108"/>
      <c r="G53" s="106"/>
      <c r="H53" s="108"/>
      <c r="J53" s="132"/>
    </row>
    <row r="54" spans="2:8" ht="12.75">
      <c r="B54" s="90" t="s">
        <v>123</v>
      </c>
      <c r="C54" s="106">
        <f>1108.26+280.56+183.18</f>
        <v>1572</v>
      </c>
      <c r="D54" s="107">
        <f>C54/$C$22*100</f>
        <v>7.974683929591454</v>
      </c>
      <c r="E54" s="106">
        <f>+'GMD DEC 07 VS DEC 08'!E54+'FCKD DEC 07 VS DEC 08'!P54</f>
        <v>2918.79</v>
      </c>
      <c r="F54" s="108">
        <f>E54/$E$22*100</f>
        <v>11.518792375078247</v>
      </c>
      <c r="G54" s="106">
        <f>+'GMD DEC 07 VS DEC 08'!G54+'FCKD DEC 07 VS DEC 08'!R54</f>
        <v>2909.46</v>
      </c>
      <c r="H54" s="108">
        <f>+G54/$G$22*100</f>
        <v>13.967964696258003</v>
      </c>
    </row>
    <row r="55" spans="2:8" ht="10.5" customHeight="1">
      <c r="B55" s="90"/>
      <c r="C55" s="106"/>
      <c r="D55" s="107"/>
      <c r="E55" s="106"/>
      <c r="F55" s="108"/>
      <c r="G55" s="106"/>
      <c r="H55" s="108"/>
    </row>
    <row r="56" spans="2:8" ht="14.25" customHeight="1">
      <c r="B56" s="90" t="s">
        <v>166</v>
      </c>
      <c r="C56" s="106"/>
      <c r="D56" s="107" t="e">
        <f>C56/#REF!*100</f>
        <v>#REF!</v>
      </c>
      <c r="E56" s="106">
        <f>+'GMD DEC 07 VS DEC 08'!E56+'FCKD DEC 07 VS DEC 08'!P56</f>
        <v>-156.01</v>
      </c>
      <c r="F56" s="108">
        <f>E56/$E$22*100</f>
        <v>-0.6156821143131083</v>
      </c>
      <c r="G56" s="106">
        <f>+'GMD DEC 07 VS DEC 08'!G56+'FCKD DEC 07 VS DEC 08'!R56</f>
        <v>279.02</v>
      </c>
      <c r="H56" s="108">
        <f>+G56/$G$22*100</f>
        <v>1.3395411896193479</v>
      </c>
    </row>
    <row r="57" spans="2:8" ht="13.5" customHeight="1">
      <c r="B57" s="90"/>
      <c r="C57" s="106"/>
      <c r="D57" s="107"/>
      <c r="E57" s="106"/>
      <c r="F57" s="108"/>
      <c r="G57" s="106"/>
      <c r="H57" s="108"/>
    </row>
    <row r="58" spans="2:8" ht="12.75">
      <c r="B58" s="90" t="s">
        <v>125</v>
      </c>
      <c r="C58" s="106">
        <f>109.78+325.22</f>
        <v>435</v>
      </c>
      <c r="D58" s="107">
        <f>C58/$C$22*100</f>
        <v>2.2067350568525974</v>
      </c>
      <c r="E58" s="106">
        <f>+'GMD DEC 07 VS DEC 08'!E58+'FCKD DEC 07 VS DEC 08'!P58</f>
        <v>692.4300000000001</v>
      </c>
      <c r="F58" s="108">
        <f>E58/$E$22*100</f>
        <v>2.7326246164593657</v>
      </c>
      <c r="G58" s="106">
        <f>+'GMD DEC 07 VS DEC 08'!G58+'FCKD DEC 07 VS DEC 08'!R58-2.66</f>
        <v>845.388</v>
      </c>
      <c r="H58" s="108">
        <f>+G58/$G$22*100</f>
        <v>4.058605287111753</v>
      </c>
    </row>
    <row r="59" spans="2:8" ht="12.75">
      <c r="B59" s="90"/>
      <c r="C59" s="106"/>
      <c r="D59" s="107"/>
      <c r="E59" s="106"/>
      <c r="F59" s="108"/>
      <c r="G59" s="106"/>
      <c r="H59" s="108"/>
    </row>
    <row r="60" spans="2:8" ht="12.75">
      <c r="B60" s="92" t="s">
        <v>126</v>
      </c>
      <c r="C60" s="110">
        <f>SUM(C52:C59)</f>
        <v>2007</v>
      </c>
      <c r="D60" s="111">
        <f>C60/$C$22*100</f>
        <v>10.181418986444053</v>
      </c>
      <c r="E60" s="110">
        <f>SUM(E52:E59)</f>
        <v>3455.21</v>
      </c>
      <c r="F60" s="112">
        <f>E60/$E$22*100</f>
        <v>13.635734877224504</v>
      </c>
      <c r="G60" s="110">
        <f>SUM(G52:G59)</f>
        <v>4033.868</v>
      </c>
      <c r="H60" s="112">
        <f>+G60/$G$22*100</f>
        <v>19.366111172989104</v>
      </c>
    </row>
    <row r="61" spans="2:8" ht="12.75">
      <c r="B61" s="90"/>
      <c r="C61" s="106"/>
      <c r="D61" s="107"/>
      <c r="E61" s="106"/>
      <c r="F61" s="108"/>
      <c r="G61" s="106"/>
      <c r="H61" s="108"/>
    </row>
    <row r="62" spans="2:8" ht="12.75">
      <c r="B62" s="90" t="s">
        <v>127</v>
      </c>
      <c r="C62" s="110">
        <f>C50-C60</f>
        <v>2226.8600000000006</v>
      </c>
      <c r="D62" s="111">
        <f>C62/$C$22*100</f>
        <v>11.296758686673048</v>
      </c>
      <c r="E62" s="110">
        <f>E50-E60</f>
        <v>2474.768929999994</v>
      </c>
      <c r="F62" s="112">
        <f>E62/$E$22*100</f>
        <v>9.766495527586597</v>
      </c>
      <c r="G62" s="110">
        <f>G50-G60</f>
        <v>748.3120000000004</v>
      </c>
      <c r="H62" s="112">
        <f>+G62/$G$22*100</f>
        <v>3.5925551813003866</v>
      </c>
    </row>
    <row r="63" spans="2:8" ht="12.75">
      <c r="B63" s="90" t="s">
        <v>128</v>
      </c>
      <c r="C63" s="106"/>
      <c r="D63" s="107"/>
      <c r="E63" s="106"/>
      <c r="F63" s="108"/>
      <c r="G63" s="106"/>
      <c r="H63" s="108"/>
    </row>
    <row r="64" spans="2:8" ht="12.75">
      <c r="B64" s="90"/>
      <c r="C64" s="106"/>
      <c r="D64" s="107"/>
      <c r="E64" s="106"/>
      <c r="F64" s="108"/>
      <c r="G64" s="106"/>
      <c r="H64" s="108"/>
    </row>
    <row r="65" spans="2:8" ht="12.75">
      <c r="B65" s="90" t="s">
        <v>128</v>
      </c>
      <c r="C65" s="106">
        <v>697.2</v>
      </c>
      <c r="D65" s="107">
        <f>C65/$C$22*100</f>
        <v>3.5368636359485763</v>
      </c>
      <c r="E65" s="106">
        <f>+'GMD DEC 07 VS DEC 08'!E65+'FCKD DEC 07 VS DEC 08'!P65</f>
        <v>947.93</v>
      </c>
      <c r="F65" s="108">
        <f>E65/$E$22*100</f>
        <v>3.740936777263154</v>
      </c>
      <c r="G65" s="106">
        <f>+'GMD DEC 07 VS DEC 08'!G65+'FCKD DEC 07 VS DEC 08'!R65</f>
        <v>1120.42</v>
      </c>
      <c r="H65" s="108">
        <f>+G65/$G$22*100</f>
        <v>5.379000572264748</v>
      </c>
    </row>
    <row r="66" spans="2:8" ht="12.75">
      <c r="B66" s="90"/>
      <c r="C66" s="106"/>
      <c r="D66" s="107"/>
      <c r="E66" s="106"/>
      <c r="F66" s="108"/>
      <c r="G66" s="106"/>
      <c r="H66" s="108"/>
    </row>
    <row r="67" spans="2:8" ht="12.75">
      <c r="B67" s="92" t="s">
        <v>129</v>
      </c>
      <c r="C67" s="110">
        <f>C62-C65</f>
        <v>1529.6600000000005</v>
      </c>
      <c r="D67" s="111">
        <f>C67/$C$22*100</f>
        <v>7.75989505072447</v>
      </c>
      <c r="E67" s="110">
        <f>E62-E65</f>
        <v>1526.838929999994</v>
      </c>
      <c r="F67" s="112">
        <f>E67/$E$22*100</f>
        <v>6.025558750323443</v>
      </c>
      <c r="G67" s="110">
        <f>G62-G65</f>
        <v>-372.1079999999997</v>
      </c>
      <c r="H67" s="112">
        <f>+G67/$G$22*100</f>
        <v>-1.7864453909643605</v>
      </c>
    </row>
    <row r="68" spans="2:8" ht="12.75">
      <c r="B68" s="90"/>
      <c r="C68" s="106"/>
      <c r="D68" s="107"/>
      <c r="E68" s="106"/>
      <c r="F68" s="108"/>
      <c r="G68" s="106"/>
      <c r="H68" s="108"/>
    </row>
    <row r="69" spans="2:8" ht="12.75">
      <c r="B69" s="90" t="s">
        <v>77</v>
      </c>
      <c r="C69" s="106">
        <v>1006.68</v>
      </c>
      <c r="D69" s="107">
        <f>C69/$C$22*100</f>
        <v>5.106841487430741</v>
      </c>
      <c r="E69" s="106">
        <f>+'GMD DEC 07 VS DEC 08'!E69+'FCKD DEC 07 VS DEC 08'!P69</f>
        <v>917.2622175</v>
      </c>
      <c r="F69" s="108">
        <f>E69/$E$22*100</f>
        <v>3.6199086048966747</v>
      </c>
      <c r="G69" s="106">
        <f>+'GMD DEC 07 VS DEC 08'!G69+'FCKD DEC 07 VS DEC 08'!R69</f>
        <v>925.9200000000001</v>
      </c>
      <c r="H69" s="108">
        <f>+G69/$G$22*100</f>
        <v>4.445229654836021</v>
      </c>
    </row>
    <row r="70" spans="2:8" ht="12.75">
      <c r="B70" s="89"/>
      <c r="C70" s="106"/>
      <c r="D70" s="107"/>
      <c r="E70" s="106"/>
      <c r="F70" s="108"/>
      <c r="G70" s="106"/>
      <c r="H70" s="108"/>
    </row>
    <row r="71" spans="2:8" ht="12.75">
      <c r="B71" s="92" t="s">
        <v>130</v>
      </c>
      <c r="C71" s="110">
        <f>C67-C69</f>
        <v>522.9800000000006</v>
      </c>
      <c r="D71" s="111">
        <f>C71/$C$22*100</f>
        <v>2.65305356329373</v>
      </c>
      <c r="E71" s="110">
        <f>E67-E69</f>
        <v>609.576712499994</v>
      </c>
      <c r="F71" s="112">
        <f>E71/$E$22*100</f>
        <v>2.4056501454267676</v>
      </c>
      <c r="G71" s="110">
        <f>G67-G69</f>
        <v>-1298.0279999999998</v>
      </c>
      <c r="H71" s="112">
        <f>+G71/$G$22*100</f>
        <v>-6.231675045800382</v>
      </c>
    </row>
  </sheetData>
  <sheetProtection/>
  <mergeCells count="3">
    <mergeCell ref="C5:D5"/>
    <mergeCell ref="E5:F5"/>
    <mergeCell ref="G5:H5"/>
  </mergeCells>
  <printOptions/>
  <pageMargins left="0.5" right="0.5" top="0.5" bottom="0.5"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1:J77"/>
  <sheetViews>
    <sheetView zoomScalePageLayoutView="0" workbookViewId="0" topLeftCell="A1">
      <selection activeCell="G12" sqref="G12"/>
    </sheetView>
  </sheetViews>
  <sheetFormatPr defaultColWidth="10.28125" defaultRowHeight="12.75"/>
  <cols>
    <col min="1" max="1" width="9.140625" style="84" customWidth="1"/>
    <col min="2" max="2" width="36.421875" style="84" customWidth="1"/>
    <col min="3" max="3" width="15.8515625" style="84" hidden="1" customWidth="1"/>
    <col min="4" max="4" width="10.421875" style="84" hidden="1" customWidth="1"/>
    <col min="5" max="5" width="13.57421875" style="84" customWidth="1"/>
    <col min="6" max="6" width="11.140625" style="84" customWidth="1"/>
    <col min="7" max="7" width="13.00390625" style="84" customWidth="1"/>
    <col min="8" max="8" width="11.57421875" style="84" customWidth="1"/>
    <col min="9" max="16384" width="10.28125" style="84" customWidth="1"/>
  </cols>
  <sheetData>
    <row r="1" spans="2:6" ht="12.75">
      <c r="B1" s="85" t="s">
        <v>177</v>
      </c>
      <c r="C1" s="86"/>
      <c r="D1" s="86"/>
      <c r="E1" s="86"/>
      <c r="F1" s="86"/>
    </row>
    <row r="2" spans="2:6" ht="12.75">
      <c r="B2" s="85"/>
      <c r="C2" s="86"/>
      <c r="D2" s="86"/>
      <c r="E2" s="86"/>
      <c r="F2" s="86"/>
    </row>
    <row r="3" spans="2:6" ht="12.75">
      <c r="B3" s="85" t="s">
        <v>163</v>
      </c>
      <c r="D3" s="86"/>
      <c r="E3" s="86"/>
      <c r="F3" s="86"/>
    </row>
    <row r="4" spans="2:6" ht="12.75">
      <c r="B4" s="87"/>
      <c r="C4" s="87"/>
      <c r="D4" s="87"/>
      <c r="E4" s="86"/>
      <c r="F4" s="86"/>
    </row>
    <row r="5" spans="2:8" ht="12.75">
      <c r="B5" s="88"/>
      <c r="C5" s="281" t="s">
        <v>95</v>
      </c>
      <c r="D5" s="282"/>
      <c r="E5" s="283" t="s">
        <v>96</v>
      </c>
      <c r="F5" s="284"/>
      <c r="G5" s="283" t="s">
        <v>96</v>
      </c>
      <c r="H5" s="284"/>
    </row>
    <row r="6" spans="2:8" ht="12.75">
      <c r="B6" s="89"/>
      <c r="C6" s="90" t="s">
        <v>97</v>
      </c>
      <c r="D6" s="91"/>
      <c r="E6" s="92" t="s">
        <v>164</v>
      </c>
      <c r="F6" s="93"/>
      <c r="G6" s="92" t="s">
        <v>165</v>
      </c>
      <c r="H6" s="93"/>
    </row>
    <row r="7" spans="2:8" ht="12.75">
      <c r="B7" s="90" t="s">
        <v>12</v>
      </c>
      <c r="C7" s="94" t="s">
        <v>99</v>
      </c>
      <c r="D7" s="95" t="s">
        <v>100</v>
      </c>
      <c r="E7" s="94" t="s">
        <v>99</v>
      </c>
      <c r="F7" s="96" t="s">
        <v>100</v>
      </c>
      <c r="G7" s="94" t="s">
        <v>99</v>
      </c>
      <c r="H7" s="96" t="s">
        <v>100</v>
      </c>
    </row>
    <row r="8" spans="2:8" ht="12.75">
      <c r="B8" s="98"/>
      <c r="C8" s="99" t="s">
        <v>101</v>
      </c>
      <c r="D8" s="100"/>
      <c r="E8" s="99" t="s">
        <v>101</v>
      </c>
      <c r="F8" s="101"/>
      <c r="G8" s="99" t="s">
        <v>101</v>
      </c>
      <c r="H8" s="101"/>
    </row>
    <row r="9" spans="2:8" ht="12.75">
      <c r="B9" s="89"/>
      <c r="C9" s="89"/>
      <c r="D9" s="103"/>
      <c r="E9" s="88"/>
      <c r="F9" s="104"/>
      <c r="G9" s="89"/>
      <c r="H9" s="105"/>
    </row>
    <row r="10" spans="2:8" ht="12.75">
      <c r="B10" s="90" t="s">
        <v>102</v>
      </c>
      <c r="C10" s="106">
        <v>19512.38</v>
      </c>
      <c r="D10" s="107">
        <f>C10/$C$22*100</f>
        <v>98.98540916926318</v>
      </c>
      <c r="E10" s="106">
        <f>22976.39-171.7</f>
        <v>22804.69</v>
      </c>
      <c r="F10" s="108">
        <f>E10/$E$22*100</f>
        <v>96.6097379533793</v>
      </c>
      <c r="G10" s="106">
        <f>18595.84-G12</f>
        <v>18279.89</v>
      </c>
      <c r="H10" s="108">
        <f>+G10/$G$22*100</f>
        <v>95.76027726643623</v>
      </c>
    </row>
    <row r="11" spans="2:8" ht="12.75">
      <c r="B11" s="90"/>
      <c r="C11" s="106"/>
      <c r="D11" s="107"/>
      <c r="E11" s="106"/>
      <c r="F11" s="108"/>
      <c r="G11" s="106"/>
      <c r="H11" s="108"/>
    </row>
    <row r="12" spans="2:8" ht="12.75">
      <c r="B12" s="90" t="s">
        <v>103</v>
      </c>
      <c r="C12" s="106">
        <v>0</v>
      </c>
      <c r="D12" s="107">
        <f>C12/$C$22*100</f>
        <v>0</v>
      </c>
      <c r="E12" s="106">
        <v>171.7</v>
      </c>
      <c r="F12" s="108">
        <f>E12/$E$22*100</f>
        <v>0.7273894978004622</v>
      </c>
      <c r="G12" s="106">
        <f>0.86+268.99+46.1</f>
        <v>315.95000000000005</v>
      </c>
      <c r="H12" s="108">
        <f>+G12/$G$22*100</f>
        <v>1.655122629421213</v>
      </c>
    </row>
    <row r="13" spans="2:8" ht="12.75">
      <c r="B13" s="90"/>
      <c r="C13" s="106"/>
      <c r="D13" s="107"/>
      <c r="E13" s="106"/>
      <c r="F13" s="108"/>
      <c r="G13" s="106"/>
      <c r="H13" s="108"/>
    </row>
    <row r="14" spans="2:8" ht="12.75">
      <c r="B14" s="90" t="s">
        <v>104</v>
      </c>
      <c r="C14" s="106">
        <v>0</v>
      </c>
      <c r="D14" s="107">
        <f>C14/$C$22*100</f>
        <v>0</v>
      </c>
      <c r="E14" s="106">
        <v>44.92</v>
      </c>
      <c r="F14" s="108">
        <f>E14/$E$22*100</f>
        <v>0.19029898800929976</v>
      </c>
      <c r="G14" s="106">
        <v>54.34</v>
      </c>
      <c r="H14" s="108">
        <f>+G14/$G$22*100</f>
        <v>0.28466328116078077</v>
      </c>
    </row>
    <row r="15" spans="2:8" ht="12.75">
      <c r="B15" s="90"/>
      <c r="C15" s="106"/>
      <c r="D15" s="107"/>
      <c r="E15" s="106"/>
      <c r="F15" s="108"/>
      <c r="G15" s="106"/>
      <c r="H15" s="108"/>
    </row>
    <row r="16" spans="2:8" ht="12.75">
      <c r="B16" s="90" t="s">
        <v>105</v>
      </c>
      <c r="C16" s="106">
        <v>200</v>
      </c>
      <c r="D16" s="107">
        <f>C16/$C$22*100</f>
        <v>1.0145908307368263</v>
      </c>
      <c r="E16" s="106">
        <f>329.27+159</f>
        <v>488.27</v>
      </c>
      <c r="F16" s="108">
        <f>E16/$E$22*100</f>
        <v>2.068505941124238</v>
      </c>
      <c r="G16" s="106">
        <f>390.96-54.34</f>
        <v>336.62</v>
      </c>
      <c r="H16" s="108">
        <f>+G16/$G$22*100</f>
        <v>1.7634036382838063</v>
      </c>
    </row>
    <row r="17" spans="2:8" ht="12.75">
      <c r="B17" s="90"/>
      <c r="C17" s="106"/>
      <c r="D17" s="107"/>
      <c r="E17" s="106"/>
      <c r="F17" s="108"/>
      <c r="G17" s="106"/>
      <c r="H17" s="108"/>
    </row>
    <row r="18" spans="2:8" ht="12.75">
      <c r="B18" s="109" t="s">
        <v>106</v>
      </c>
      <c r="C18" s="106">
        <v>0</v>
      </c>
      <c r="D18" s="107">
        <f>C18/$C$22*100</f>
        <v>0</v>
      </c>
      <c r="E18" s="106">
        <v>9.84</v>
      </c>
      <c r="F18" s="108">
        <f>E18/$E$22*100</f>
        <v>0.041686154096427196</v>
      </c>
      <c r="G18" s="106">
        <v>30.4</v>
      </c>
      <c r="H18" s="108">
        <f>+G18/$G$22*100</f>
        <v>0.15925218526477244</v>
      </c>
    </row>
    <row r="19" spans="2:8" ht="12.75">
      <c r="B19" s="90"/>
      <c r="C19" s="106"/>
      <c r="D19" s="107"/>
      <c r="E19" s="106"/>
      <c r="F19" s="108"/>
      <c r="G19" s="106"/>
      <c r="H19" s="108"/>
    </row>
    <row r="20" spans="2:8" ht="12.75">
      <c r="B20" s="90" t="s">
        <v>107</v>
      </c>
      <c r="C20" s="106">
        <v>0</v>
      </c>
      <c r="D20" s="107">
        <f>C20/$C$22*100</f>
        <v>0</v>
      </c>
      <c r="E20" s="106">
        <v>85.54</v>
      </c>
      <c r="F20" s="108">
        <f>E20/$E$22*100</f>
        <v>0.3623814655902828</v>
      </c>
      <c r="G20" s="106">
        <v>72.02</v>
      </c>
      <c r="H20" s="108">
        <f>+G20/$G$22*100</f>
        <v>0.37728099943318794</v>
      </c>
    </row>
    <row r="21" spans="2:8" ht="12.75">
      <c r="B21" s="89"/>
      <c r="C21" s="106"/>
      <c r="D21" s="107"/>
      <c r="E21" s="106"/>
      <c r="F21" s="108"/>
      <c r="G21" s="106"/>
      <c r="H21" s="108"/>
    </row>
    <row r="22" spans="2:8" ht="12.75">
      <c r="B22" s="92" t="s">
        <v>71</v>
      </c>
      <c r="C22" s="110">
        <f>SUM(C10:C20)</f>
        <v>19712.38</v>
      </c>
      <c r="D22" s="111">
        <f>C22/$C$22*100</f>
        <v>100</v>
      </c>
      <c r="E22" s="110">
        <f>SUM(E10:E20)</f>
        <v>23604.96</v>
      </c>
      <c r="F22" s="112">
        <f>E22/$E$22*100</f>
        <v>100</v>
      </c>
      <c r="G22" s="110">
        <f>SUM(G10:G20)</f>
        <v>19089.22</v>
      </c>
      <c r="H22" s="112">
        <f>SUM(H10:H20)</f>
        <v>99.99999999999999</v>
      </c>
    </row>
    <row r="23" spans="2:8" ht="12.75">
      <c r="B23" s="89"/>
      <c r="C23" s="106"/>
      <c r="D23" s="107"/>
      <c r="E23" s="106"/>
      <c r="F23" s="108"/>
      <c r="G23" s="106"/>
      <c r="H23" s="108"/>
    </row>
    <row r="24" spans="2:8" ht="12.75">
      <c r="B24" s="90" t="s">
        <v>108</v>
      </c>
      <c r="C24" s="106"/>
      <c r="D24" s="107"/>
      <c r="E24" s="106"/>
      <c r="F24" s="108"/>
      <c r="G24" s="106"/>
      <c r="H24" s="108"/>
    </row>
    <row r="25" spans="2:8" ht="12.75">
      <c r="B25" s="90"/>
      <c r="C25" s="106"/>
      <c r="D25" s="107"/>
      <c r="E25" s="106"/>
      <c r="F25" s="108"/>
      <c r="G25" s="106"/>
      <c r="H25" s="108"/>
    </row>
    <row r="26" spans="2:8" ht="12.75">
      <c r="B26" s="90" t="s">
        <v>109</v>
      </c>
      <c r="C26" s="106">
        <f>10584.98</f>
        <v>10584.98</v>
      </c>
      <c r="D26" s="107">
        <f>C26/$C$22*100</f>
        <v>53.697118257663455</v>
      </c>
      <c r="E26" s="106">
        <v>13642.16</v>
      </c>
      <c r="F26" s="108">
        <f>E26/$E$22*100</f>
        <v>57.79361625692228</v>
      </c>
      <c r="G26" s="106">
        <f>10687.23+26.19</f>
        <v>10713.42</v>
      </c>
      <c r="H26" s="108">
        <f>+G26/$G$22*100</f>
        <v>56.122879824319696</v>
      </c>
    </row>
    <row r="27" spans="2:8" ht="12.75">
      <c r="B27" s="90"/>
      <c r="C27" s="106"/>
      <c r="D27" s="107"/>
      <c r="E27" s="106"/>
      <c r="F27" s="108"/>
      <c r="G27" s="106"/>
      <c r="H27" s="108"/>
    </row>
    <row r="28" spans="2:8" ht="12.75">
      <c r="B28" s="90" t="s">
        <v>110</v>
      </c>
      <c r="C28" s="106">
        <v>546.37</v>
      </c>
      <c r="D28" s="107">
        <f>C28/$C$22*100</f>
        <v>2.771709960948399</v>
      </c>
      <c r="E28" s="106">
        <v>190.95</v>
      </c>
      <c r="F28" s="108">
        <f>E28/$E$22*100</f>
        <v>0.8089401549504849</v>
      </c>
      <c r="G28" s="106">
        <v>11.57</v>
      </c>
      <c r="H28" s="108">
        <f>+G28/$G$22*100</f>
        <v>0.06061012445767821</v>
      </c>
    </row>
    <row r="29" spans="2:8" ht="12.75">
      <c r="B29" s="90"/>
      <c r="C29" s="106"/>
      <c r="D29" s="107"/>
      <c r="E29" s="106"/>
      <c r="F29" s="108"/>
      <c r="G29" s="106"/>
      <c r="H29" s="108"/>
    </row>
    <row r="30" spans="2:8" ht="12.75">
      <c r="B30" s="90" t="s">
        <v>111</v>
      </c>
      <c r="C30" s="106">
        <v>0</v>
      </c>
      <c r="D30" s="107">
        <f>C30/$C$22*100</f>
        <v>0</v>
      </c>
      <c r="E30" s="106">
        <f>322.12-190.95</f>
        <v>131.17000000000002</v>
      </c>
      <c r="F30" s="108">
        <f>E30/$E$22*100</f>
        <v>0.5556882960191418</v>
      </c>
      <c r="G30" s="106">
        <f>303.31-G28</f>
        <v>291.74</v>
      </c>
      <c r="H30" s="108">
        <f>+G30/$G$22*100</f>
        <v>1.5282971226692341</v>
      </c>
    </row>
    <row r="31" spans="2:8" ht="12.75">
      <c r="B31" s="90"/>
      <c r="C31" s="106"/>
      <c r="D31" s="107"/>
      <c r="E31" s="106"/>
      <c r="F31" s="108"/>
      <c r="G31" s="106"/>
      <c r="H31" s="108"/>
    </row>
    <row r="32" spans="2:8" ht="12.75">
      <c r="B32" s="90" t="s">
        <v>112</v>
      </c>
      <c r="C32" s="106">
        <v>0</v>
      </c>
      <c r="D32" s="107">
        <f>C32/$C$22*100</f>
        <v>0</v>
      </c>
      <c r="E32" s="106">
        <v>-1724.34574</v>
      </c>
      <c r="F32" s="108">
        <f>E32/$E$22*100</f>
        <v>-7.305014454589205</v>
      </c>
      <c r="G32" s="106">
        <f>-510.82+27.93+10</f>
        <v>-472.89</v>
      </c>
      <c r="H32" s="108">
        <f>+G32/$G$22*100</f>
        <v>-2.4772620358506003</v>
      </c>
    </row>
    <row r="33" spans="2:8" ht="12.75">
      <c r="B33" s="90"/>
      <c r="C33" s="106"/>
      <c r="D33" s="107"/>
      <c r="E33" s="106"/>
      <c r="F33" s="108"/>
      <c r="G33" s="106"/>
      <c r="H33" s="108"/>
    </row>
    <row r="34" spans="2:8" ht="12.75">
      <c r="B34" s="90" t="s">
        <v>113</v>
      </c>
      <c r="C34" s="106">
        <v>540.18</v>
      </c>
      <c r="D34" s="107">
        <f>C34/$C$22*100</f>
        <v>2.7403083747370935</v>
      </c>
      <c r="E34" s="106">
        <v>1080.79</v>
      </c>
      <c r="F34" s="108">
        <f>E34/$E$22*100</f>
        <v>4.5786563501908075</v>
      </c>
      <c r="G34" s="106">
        <v>1081.19</v>
      </c>
      <c r="H34" s="108">
        <f>+G34/$G$22*100</f>
        <v>5.663877308763794</v>
      </c>
    </row>
    <row r="35" spans="2:8" ht="12.75">
      <c r="B35" s="90"/>
      <c r="C35" s="106"/>
      <c r="D35" s="107"/>
      <c r="E35" s="106"/>
      <c r="F35" s="108"/>
      <c r="G35" s="106"/>
      <c r="H35" s="108"/>
    </row>
    <row r="36" spans="2:8" ht="12.75">
      <c r="B36" s="90" t="s">
        <v>114</v>
      </c>
      <c r="C36" s="106">
        <v>437.4</v>
      </c>
      <c r="D36" s="107">
        <f>C36/$C$22*100</f>
        <v>2.218910146821439</v>
      </c>
      <c r="E36" s="106">
        <v>647.07</v>
      </c>
      <c r="F36" s="108">
        <f>E36/$E$22*100</f>
        <v>2.7412459076397506</v>
      </c>
      <c r="G36" s="106">
        <v>428.65</v>
      </c>
      <c r="H36" s="108">
        <f>+G36/$G$22*100</f>
        <v>2.24550819782055</v>
      </c>
    </row>
    <row r="37" spans="2:8" ht="12.75">
      <c r="B37" s="90"/>
      <c r="C37" s="106"/>
      <c r="D37" s="107"/>
      <c r="E37" s="106"/>
      <c r="F37" s="108"/>
      <c r="G37" s="106"/>
      <c r="H37" s="108"/>
    </row>
    <row r="38" spans="2:8" ht="12.75">
      <c r="B38" s="90" t="s">
        <v>115</v>
      </c>
      <c r="C38" s="106">
        <v>121.75</v>
      </c>
      <c r="D38" s="107">
        <f>C38/$C$22*100</f>
        <v>0.617632168211043</v>
      </c>
      <c r="E38" s="106">
        <f>867.72575-647.07</f>
        <v>220.6557499999999</v>
      </c>
      <c r="F38" s="108">
        <f>E38/$E$22*100</f>
        <v>0.9347855281262918</v>
      </c>
      <c r="G38" s="106">
        <f>1586.11-G34-G36</f>
        <v>76.26999999999987</v>
      </c>
      <c r="H38" s="108">
        <f>+G38/$G$22*100</f>
        <v>0.3995448740179005</v>
      </c>
    </row>
    <row r="39" spans="2:8" ht="12.75">
      <c r="B39" s="90"/>
      <c r="C39" s="106"/>
      <c r="D39" s="107"/>
      <c r="E39" s="106"/>
      <c r="F39" s="108"/>
      <c r="G39" s="106"/>
      <c r="H39" s="108"/>
    </row>
    <row r="40" spans="2:8" ht="12.75">
      <c r="B40" s="90" t="s">
        <v>116</v>
      </c>
      <c r="C40" s="106">
        <v>21.4</v>
      </c>
      <c r="D40" s="107">
        <f>C40/$C$22*100</f>
        <v>0.10856121888884039</v>
      </c>
      <c r="E40" s="106">
        <v>33.38563</v>
      </c>
      <c r="F40" s="108">
        <f>E40/$E$22*100</f>
        <v>0.14143480861649416</v>
      </c>
      <c r="G40" s="106">
        <f>55.13+0.56</f>
        <v>55.690000000000005</v>
      </c>
      <c r="H40" s="108">
        <f>+G40/$G$22*100</f>
        <v>0.2917353354406309</v>
      </c>
    </row>
    <row r="41" spans="2:8" ht="12.75">
      <c r="B41" s="90"/>
      <c r="C41" s="106"/>
      <c r="D41" s="107"/>
      <c r="E41" s="106"/>
      <c r="F41" s="108"/>
      <c r="G41" s="106"/>
      <c r="H41" s="108"/>
    </row>
    <row r="42" spans="2:8" ht="12.75">
      <c r="B42" s="90" t="s">
        <v>117</v>
      </c>
      <c r="C42" s="106">
        <v>1942.93</v>
      </c>
      <c r="D42" s="107">
        <f>C42/$C$22*100</f>
        <v>9.85639481381751</v>
      </c>
      <c r="E42" s="106">
        <v>2914.31</v>
      </c>
      <c r="F42" s="108">
        <f>E42/$E$22*100</f>
        <v>12.346176396825074</v>
      </c>
      <c r="G42" s="106">
        <v>1849.96</v>
      </c>
      <c r="H42" s="108">
        <f>+G42/$G$22*100</f>
        <v>9.691124100408501</v>
      </c>
    </row>
    <row r="43" spans="2:8" ht="12.75">
      <c r="B43" s="90"/>
      <c r="C43" s="106"/>
      <c r="D43" s="107"/>
      <c r="E43" s="106"/>
      <c r="F43" s="108"/>
      <c r="G43" s="106"/>
      <c r="H43" s="108"/>
    </row>
    <row r="44" spans="2:8" ht="12.75">
      <c r="B44" s="90" t="s">
        <v>118</v>
      </c>
      <c r="C44" s="106">
        <v>457.57</v>
      </c>
      <c r="D44" s="107">
        <f>C44/$C$22*100</f>
        <v>2.321231632101248</v>
      </c>
      <c r="E44" s="106">
        <v>614.23187</v>
      </c>
      <c r="F44" s="108">
        <f>E44/$E$22*100</f>
        <v>2.602130526804536</v>
      </c>
      <c r="G44" s="106">
        <v>463.81</v>
      </c>
      <c r="H44" s="108">
        <f>+G44/$G$22*100</f>
        <v>2.4296959226202013</v>
      </c>
    </row>
    <row r="45" spans="2:8" ht="12.75">
      <c r="B45" s="90"/>
      <c r="C45" s="106"/>
      <c r="D45" s="107"/>
      <c r="E45" s="106"/>
      <c r="F45" s="108"/>
      <c r="G45" s="106"/>
      <c r="H45" s="108"/>
    </row>
    <row r="46" spans="2:8" ht="12.75">
      <c r="B46" s="90" t="s">
        <v>119</v>
      </c>
      <c r="C46" s="106">
        <f>536.3+289.64</f>
        <v>825.9399999999999</v>
      </c>
      <c r="D46" s="107">
        <f>C46/$C$22*100</f>
        <v>4.189955753693871</v>
      </c>
      <c r="E46" s="106">
        <v>939.1588</v>
      </c>
      <c r="F46" s="108">
        <f>E46/$E$22*100</f>
        <v>3.978650249778013</v>
      </c>
      <c r="G46" s="106">
        <v>868.7</v>
      </c>
      <c r="H46" s="108">
        <f>+G46/$G$22*100</f>
        <v>4.55073596511539</v>
      </c>
    </row>
    <row r="47" spans="2:8" ht="12.75">
      <c r="B47" s="90"/>
      <c r="C47" s="106"/>
      <c r="D47" s="107"/>
      <c r="E47" s="106"/>
      <c r="F47" s="108"/>
      <c r="G47" s="106"/>
      <c r="H47" s="108"/>
    </row>
    <row r="48" spans="2:8" ht="12.75">
      <c r="B48" s="92" t="s">
        <v>120</v>
      </c>
      <c r="C48" s="110">
        <f>SUM(C26:C47)</f>
        <v>15478.52</v>
      </c>
      <c r="D48" s="111">
        <f>C48/$C$22*100</f>
        <v>78.52182232688291</v>
      </c>
      <c r="E48" s="110">
        <f>SUM(E26:E47)</f>
        <v>18689.53631</v>
      </c>
      <c r="F48" s="112">
        <f>E48/$E$22*100</f>
        <v>79.17631002128365</v>
      </c>
      <c r="G48" s="110">
        <f>SUM(G26:G47)</f>
        <v>15368.110000000002</v>
      </c>
      <c r="H48" s="112">
        <f>SUM(H26:H47)</f>
        <v>80.50674673978297</v>
      </c>
    </row>
    <row r="49" spans="2:8" ht="12.75">
      <c r="B49" s="90"/>
      <c r="C49" s="106"/>
      <c r="D49" s="107"/>
      <c r="E49" s="106"/>
      <c r="F49" s="108"/>
      <c r="G49" s="106"/>
      <c r="H49" s="108"/>
    </row>
    <row r="50" spans="2:8" ht="12.75">
      <c r="B50" s="92" t="s">
        <v>121</v>
      </c>
      <c r="C50" s="110">
        <f>C22-C48</f>
        <v>4233.860000000001</v>
      </c>
      <c r="D50" s="111">
        <f>C50/$C$22*100</f>
        <v>21.4781776731171</v>
      </c>
      <c r="E50" s="110">
        <f>E22-E48</f>
        <v>4915.42369</v>
      </c>
      <c r="F50" s="112">
        <f>E50/$E$22*100</f>
        <v>20.823689978716338</v>
      </c>
      <c r="G50" s="110">
        <f>G22-G48</f>
        <v>3721.1099999999988</v>
      </c>
      <c r="H50" s="112">
        <f>H22-H48</f>
        <v>19.493253260217017</v>
      </c>
    </row>
    <row r="51" spans="2:8" ht="12.75">
      <c r="B51" s="90"/>
      <c r="C51" s="106"/>
      <c r="D51" s="107"/>
      <c r="E51" s="106"/>
      <c r="F51" s="108"/>
      <c r="G51" s="106"/>
      <c r="H51" s="108"/>
    </row>
    <row r="52" spans="2:8" ht="12.75">
      <c r="B52" s="90" t="s">
        <v>122</v>
      </c>
      <c r="C52" s="106"/>
      <c r="D52" s="107"/>
      <c r="E52" s="106"/>
      <c r="F52" s="108"/>
      <c r="G52" s="106"/>
      <c r="H52" s="108"/>
    </row>
    <row r="53" spans="2:8" ht="12.75">
      <c r="B53" s="90"/>
      <c r="C53" s="106"/>
      <c r="D53" s="107"/>
      <c r="E53" s="106"/>
      <c r="F53" s="108"/>
      <c r="G53" s="106"/>
      <c r="H53" s="108"/>
    </row>
    <row r="54" spans="2:8" ht="12.75">
      <c r="B54" s="90" t="s">
        <v>123</v>
      </c>
      <c r="C54" s="106">
        <f>1108.26+280.56+183.18</f>
        <v>1572</v>
      </c>
      <c r="D54" s="107">
        <f>C54/$C$22*100</f>
        <v>7.974683929591454</v>
      </c>
      <c r="E54" s="106">
        <v>2455.17</v>
      </c>
      <c r="F54" s="108">
        <f>E54/$E$22*100</f>
        <v>10.401076722858248</v>
      </c>
      <c r="G54" s="106">
        <f>2354.74-71.58+8.27+43.55</f>
        <v>2334.98</v>
      </c>
      <c r="H54" s="108">
        <f>+G54/$G$22*100</f>
        <v>12.231929853603237</v>
      </c>
    </row>
    <row r="55" spans="2:8" ht="9.75" customHeight="1">
      <c r="B55" s="90"/>
      <c r="C55" s="106"/>
      <c r="D55" s="107"/>
      <c r="E55" s="106"/>
      <c r="F55" s="108"/>
      <c r="G55" s="106"/>
      <c r="H55" s="108"/>
    </row>
    <row r="56" spans="2:8" ht="14.25" customHeight="1">
      <c r="B56" s="90" t="s">
        <v>166</v>
      </c>
      <c r="C56" s="106"/>
      <c r="D56" s="107" t="e">
        <f>C56/#REF!*100</f>
        <v>#REF!</v>
      </c>
      <c r="E56" s="106">
        <v>-200.71</v>
      </c>
      <c r="F56" s="108">
        <f>E56/$E$22*100</f>
        <v>-0.8502873972249901</v>
      </c>
      <c r="G56" s="106">
        <f>276.77+2.25</f>
        <v>279.02</v>
      </c>
      <c r="H56" s="108">
        <f>+G56/$G$22*100</f>
        <v>1.4616626556768688</v>
      </c>
    </row>
    <row r="57" spans="2:8" ht="12.75">
      <c r="B57" s="90"/>
      <c r="C57" s="106"/>
      <c r="D57" s="107"/>
      <c r="E57" s="106"/>
      <c r="F57" s="108"/>
      <c r="G57" s="106"/>
      <c r="H57" s="108"/>
    </row>
    <row r="58" spans="2:10" ht="12.75">
      <c r="B58" s="90" t="s">
        <v>125</v>
      </c>
      <c r="C58" s="106">
        <f>109.78+325.22</f>
        <v>435</v>
      </c>
      <c r="D58" s="107">
        <f>C58/$C$22*100</f>
        <v>2.2067350568525974</v>
      </c>
      <c r="E58" s="106">
        <f>389.1+200.71</f>
        <v>589.8100000000001</v>
      </c>
      <c r="F58" s="108">
        <f>E58/$E$22*100</f>
        <v>2.498669771098956</v>
      </c>
      <c r="G58" s="106">
        <f>1268.12-463.81+71.58-8.27+23.998-G56</f>
        <v>612.5980000000001</v>
      </c>
      <c r="H58" s="108">
        <f>+G58/$G$22*100</f>
        <v>3.2091305983167464</v>
      </c>
      <c r="J58" s="132"/>
    </row>
    <row r="59" spans="2:8" ht="12.75">
      <c r="B59" s="90"/>
      <c r="C59" s="106"/>
      <c r="D59" s="107"/>
      <c r="E59" s="106"/>
      <c r="F59" s="108"/>
      <c r="G59" s="106"/>
      <c r="H59" s="108"/>
    </row>
    <row r="60" spans="2:8" ht="12.75">
      <c r="B60" s="92" t="s">
        <v>126</v>
      </c>
      <c r="C60" s="110">
        <f>SUM(C52:C59)</f>
        <v>2007</v>
      </c>
      <c r="D60" s="111">
        <f>C60/$C$22*100</f>
        <v>10.181418986444053</v>
      </c>
      <c r="E60" s="110">
        <f>SUM(E52:E59)</f>
        <v>2844.27</v>
      </c>
      <c r="F60" s="112">
        <f>E60/$E$22*100</f>
        <v>12.049459096732212</v>
      </c>
      <c r="G60" s="110">
        <f>SUM(G52:G59)</f>
        <v>3226.598</v>
      </c>
      <c r="H60" s="112">
        <f>+G60/$G$22*100</f>
        <v>16.902723107596852</v>
      </c>
    </row>
    <row r="61" spans="2:8" ht="12.75">
      <c r="B61" s="90"/>
      <c r="C61" s="106"/>
      <c r="D61" s="107"/>
      <c r="E61" s="106"/>
      <c r="F61" s="108"/>
      <c r="G61" s="106"/>
      <c r="H61" s="108"/>
    </row>
    <row r="62" spans="2:8" ht="12.75">
      <c r="B62" s="90" t="s">
        <v>127</v>
      </c>
      <c r="C62" s="110">
        <f>C50-C60</f>
        <v>2226.8600000000006</v>
      </c>
      <c r="D62" s="111">
        <f>C62/$C$22*100</f>
        <v>11.296758686673048</v>
      </c>
      <c r="E62" s="110">
        <f>E50-E60</f>
        <v>2071.1536899999996</v>
      </c>
      <c r="F62" s="112">
        <f>E62/$E$22*100</f>
        <v>8.774230881984124</v>
      </c>
      <c r="G62" s="110">
        <f>G50-G60</f>
        <v>494.5119999999988</v>
      </c>
      <c r="H62" s="112">
        <f>H50-H60</f>
        <v>2.5905301526201647</v>
      </c>
    </row>
    <row r="63" spans="2:8" ht="12.75">
      <c r="B63" s="90" t="s">
        <v>128</v>
      </c>
      <c r="C63" s="106"/>
      <c r="D63" s="107"/>
      <c r="E63" s="106"/>
      <c r="F63" s="108"/>
      <c r="G63" s="106"/>
      <c r="H63" s="108"/>
    </row>
    <row r="64" spans="2:8" ht="12.75">
      <c r="B64" s="90"/>
      <c r="C64" s="106"/>
      <c r="D64" s="107"/>
      <c r="E64" s="106"/>
      <c r="F64" s="108"/>
      <c r="G64" s="106"/>
      <c r="H64" s="108"/>
    </row>
    <row r="65" spans="2:8" ht="12.75">
      <c r="B65" s="90" t="s">
        <v>128</v>
      </c>
      <c r="C65" s="106">
        <v>697.2</v>
      </c>
      <c r="D65" s="107">
        <f>C65/$C$22*100</f>
        <v>3.5368636359485763</v>
      </c>
      <c r="E65" s="106">
        <v>896.39</v>
      </c>
      <c r="F65" s="108">
        <f>E65/$E$22*100</f>
        <v>3.7974646006602004</v>
      </c>
      <c r="G65" s="106">
        <v>1029.47</v>
      </c>
      <c r="H65" s="108">
        <f>+G65/$G$22*100</f>
        <v>5.392939051464649</v>
      </c>
    </row>
    <row r="66" spans="2:8" ht="12.75">
      <c r="B66" s="90"/>
      <c r="C66" s="106"/>
      <c r="D66" s="107"/>
      <c r="E66" s="106"/>
      <c r="F66" s="108"/>
      <c r="G66" s="106"/>
      <c r="H66" s="108"/>
    </row>
    <row r="67" spans="2:8" ht="12.75">
      <c r="B67" s="92" t="s">
        <v>129</v>
      </c>
      <c r="C67" s="110">
        <f>C62-C65</f>
        <v>1529.6600000000005</v>
      </c>
      <c r="D67" s="111">
        <f>C67/$C$22*100</f>
        <v>7.75989505072447</v>
      </c>
      <c r="E67" s="110">
        <f>E62-E65</f>
        <v>1174.7636899999998</v>
      </c>
      <c r="F67" s="112">
        <f>E67/$E$22*100</f>
        <v>4.976766281323925</v>
      </c>
      <c r="G67" s="110">
        <f>G62-G65</f>
        <v>-534.9580000000012</v>
      </c>
      <c r="H67" s="112">
        <f>+G67/$G$22*100</f>
        <v>-2.802408898844485</v>
      </c>
    </row>
    <row r="68" spans="2:8" ht="12.75">
      <c r="B68" s="90"/>
      <c r="C68" s="106"/>
      <c r="D68" s="107"/>
      <c r="E68" s="106"/>
      <c r="F68" s="108"/>
      <c r="G68" s="106"/>
      <c r="H68" s="108"/>
    </row>
    <row r="69" spans="2:8" ht="12.75">
      <c r="B69" s="90" t="s">
        <v>77</v>
      </c>
      <c r="C69" s="106">
        <v>1006.68</v>
      </c>
      <c r="D69" s="107">
        <f>C69/$C$22*100</f>
        <v>5.106841487430741</v>
      </c>
      <c r="E69" s="106">
        <f>1089.57629/12*9</f>
        <v>817.1822175</v>
      </c>
      <c r="F69" s="108">
        <f>E69/$E$22*100</f>
        <v>3.461908927191573</v>
      </c>
      <c r="G69" s="106">
        <v>811.58</v>
      </c>
      <c r="H69" s="108">
        <f>+G69/$G$22*100</f>
        <v>4.251509490696844</v>
      </c>
    </row>
    <row r="70" spans="2:8" ht="12.75">
      <c r="B70" s="89"/>
      <c r="C70" s="106"/>
      <c r="D70" s="107"/>
      <c r="E70" s="106"/>
      <c r="F70" s="108"/>
      <c r="G70" s="106"/>
      <c r="H70" s="108"/>
    </row>
    <row r="71" spans="2:8" ht="12.75">
      <c r="B71" s="92" t="s">
        <v>130</v>
      </c>
      <c r="C71" s="110">
        <f>C67-C69</f>
        <v>522.9800000000006</v>
      </c>
      <c r="D71" s="111">
        <f>C71/$C$22*100</f>
        <v>2.65305356329373</v>
      </c>
      <c r="E71" s="110">
        <f>E67-E69</f>
        <v>357.5814724999998</v>
      </c>
      <c r="F71" s="112">
        <f>E71/$E$22*100</f>
        <v>1.5148573541323511</v>
      </c>
      <c r="G71" s="110">
        <f>G67-G69</f>
        <v>-1346.5380000000014</v>
      </c>
      <c r="H71" s="112">
        <f>+G71/$G$22*100</f>
        <v>-7.053918389541329</v>
      </c>
    </row>
    <row r="72" spans="2:8" ht="12">
      <c r="B72" s="158"/>
      <c r="C72" s="156"/>
      <c r="D72" s="156"/>
      <c r="E72" s="175"/>
      <c r="F72" s="155"/>
      <c r="G72" s="174"/>
      <c r="H72" s="155"/>
    </row>
    <row r="73" spans="2:8" ht="12">
      <c r="B73" s="154" t="s">
        <v>176</v>
      </c>
      <c r="C73" s="153"/>
      <c r="D73" s="153"/>
      <c r="E73" s="285">
        <v>20725.281</v>
      </c>
      <c r="F73" s="286"/>
      <c r="G73" s="285">
        <v>13820.44</v>
      </c>
      <c r="H73" s="286"/>
    </row>
    <row r="74" spans="2:8" ht="12">
      <c r="B74" s="152"/>
      <c r="C74" s="150"/>
      <c r="D74" s="150"/>
      <c r="E74" s="173"/>
      <c r="F74" s="149"/>
      <c r="G74" s="150"/>
      <c r="H74" s="149"/>
    </row>
    <row r="77" ht="12">
      <c r="G77" s="132"/>
    </row>
  </sheetData>
  <sheetProtection/>
  <mergeCells count="5">
    <mergeCell ref="C5:D5"/>
    <mergeCell ref="E5:F5"/>
    <mergeCell ref="G5:H5"/>
    <mergeCell ref="E73:F73"/>
    <mergeCell ref="G73:H73"/>
  </mergeCells>
  <printOptions/>
  <pageMargins left="0.75" right="0" top="0.5" bottom="0.5" header="0.5" footer="0.5"/>
  <pageSetup horizontalDpi="180" verticalDpi="180" orientation="portrait" paperSize="9" scale="80" r:id="rId1"/>
</worksheet>
</file>

<file path=xl/worksheets/sheet7.xml><?xml version="1.0" encoding="utf-8"?>
<worksheet xmlns="http://schemas.openxmlformats.org/spreadsheetml/2006/main" xmlns:r="http://schemas.openxmlformats.org/officeDocument/2006/relationships">
  <dimension ref="B1:Z75"/>
  <sheetViews>
    <sheetView zoomScalePageLayoutView="0" workbookViewId="0" topLeftCell="A1">
      <selection activeCell="R10" sqref="R10"/>
    </sheetView>
  </sheetViews>
  <sheetFormatPr defaultColWidth="10.28125" defaultRowHeight="12.75"/>
  <cols>
    <col min="1" max="1" width="9.140625" style="84" customWidth="1"/>
    <col min="2" max="2" width="37.28125" style="84" customWidth="1"/>
    <col min="3" max="3" width="17.421875" style="84" hidden="1" customWidth="1"/>
    <col min="4" max="4" width="10.57421875" style="84" hidden="1" customWidth="1"/>
    <col min="5" max="5" width="18.421875" style="84" hidden="1" customWidth="1"/>
    <col min="6" max="6" width="9.28125" style="84" hidden="1" customWidth="1"/>
    <col min="7" max="7" width="18.421875" style="84" hidden="1" customWidth="1"/>
    <col min="8" max="8" width="9.28125" style="84" hidden="1" customWidth="1"/>
    <col min="9" max="9" width="18.421875" style="84" hidden="1" customWidth="1"/>
    <col min="10" max="10" width="9.28125" style="84" hidden="1" customWidth="1"/>
    <col min="11" max="11" width="16.00390625" style="84" hidden="1" customWidth="1"/>
    <col min="12" max="12" width="11.28125" style="84" hidden="1" customWidth="1"/>
    <col min="13" max="13" width="15.8515625" style="84" hidden="1" customWidth="1"/>
    <col min="14" max="14" width="12.57421875" style="84" hidden="1" customWidth="1"/>
    <col min="15" max="15" width="13.7109375" style="84" hidden="1" customWidth="1"/>
    <col min="16" max="16" width="12.8515625" style="133" bestFit="1" customWidth="1"/>
    <col min="17" max="17" width="12.8515625" style="84" customWidth="1"/>
    <col min="18" max="18" width="11.28125" style="84" customWidth="1"/>
    <col min="19" max="19" width="12.57421875" style="84" customWidth="1"/>
    <col min="20" max="16384" width="10.28125" style="84" customWidth="1"/>
  </cols>
  <sheetData>
    <row r="1" spans="2:18" ht="12.75">
      <c r="B1" s="134" t="s">
        <v>175</v>
      </c>
      <c r="C1" s="86"/>
      <c r="D1" s="86"/>
      <c r="E1" s="86"/>
      <c r="F1" s="86"/>
      <c r="G1" s="171"/>
      <c r="H1" s="86"/>
      <c r="I1" s="172"/>
      <c r="J1" s="86"/>
      <c r="K1" s="86"/>
      <c r="L1" s="86"/>
      <c r="M1" s="86"/>
      <c r="N1" s="86"/>
      <c r="O1" s="171">
        <v>38736</v>
      </c>
      <c r="P1" s="86"/>
      <c r="Q1" s="86"/>
      <c r="R1" s="86"/>
    </row>
    <row r="2" spans="2:18" ht="12.75">
      <c r="B2" s="85"/>
      <c r="C2" s="86"/>
      <c r="D2" s="86"/>
      <c r="E2" s="86"/>
      <c r="F2" s="86"/>
      <c r="G2" s="171"/>
      <c r="H2" s="86"/>
      <c r="I2" s="172"/>
      <c r="J2" s="86"/>
      <c r="K2" s="86"/>
      <c r="L2" s="86"/>
      <c r="M2" s="86"/>
      <c r="N2" s="86"/>
      <c r="O2" s="171"/>
      <c r="P2" s="86"/>
      <c r="Q2" s="86"/>
      <c r="R2" s="86"/>
    </row>
    <row r="3" spans="2:18" ht="12.75">
      <c r="B3" s="85" t="s">
        <v>174</v>
      </c>
      <c r="C3" s="86"/>
      <c r="D3" s="86"/>
      <c r="E3" s="86"/>
      <c r="F3" s="86"/>
      <c r="G3" s="86"/>
      <c r="H3" s="86"/>
      <c r="I3" s="86"/>
      <c r="J3" s="86"/>
      <c r="K3" s="86"/>
      <c r="L3" s="86"/>
      <c r="M3" s="86"/>
      <c r="N3" s="86"/>
      <c r="O3" s="86"/>
      <c r="P3" s="86"/>
      <c r="Q3" s="86"/>
      <c r="R3" s="86"/>
    </row>
    <row r="4" spans="2:18" ht="12.75">
      <c r="B4" s="87"/>
      <c r="C4" s="87"/>
      <c r="D4" s="87"/>
      <c r="E4" s="87"/>
      <c r="F4" s="87"/>
      <c r="G4" s="86"/>
      <c r="H4" s="87"/>
      <c r="I4" s="86"/>
      <c r="J4" s="87"/>
      <c r="K4" s="86"/>
      <c r="L4" s="87"/>
      <c r="M4" s="87"/>
      <c r="N4" s="87"/>
      <c r="O4" s="87"/>
      <c r="P4" s="86"/>
      <c r="Q4" s="86"/>
      <c r="R4" s="86"/>
    </row>
    <row r="5" spans="2:19" ht="12.75">
      <c r="B5" s="104"/>
      <c r="C5" s="104"/>
      <c r="D5" s="104"/>
      <c r="E5" s="104"/>
      <c r="F5" s="104"/>
      <c r="G5" s="104"/>
      <c r="H5" s="104"/>
      <c r="I5" s="104"/>
      <c r="J5" s="104"/>
      <c r="K5" s="104"/>
      <c r="L5" s="104"/>
      <c r="M5" s="290" t="s">
        <v>95</v>
      </c>
      <c r="N5" s="290"/>
      <c r="O5" s="165"/>
      <c r="P5" s="289" t="s">
        <v>96</v>
      </c>
      <c r="Q5" s="289"/>
      <c r="R5" s="289" t="s">
        <v>96</v>
      </c>
      <c r="S5" s="289"/>
    </row>
    <row r="6" spans="2:19" ht="12.75">
      <c r="B6" s="105"/>
      <c r="C6" s="105"/>
      <c r="D6" s="105"/>
      <c r="E6" s="105"/>
      <c r="F6" s="105"/>
      <c r="G6" s="105"/>
      <c r="H6" s="105"/>
      <c r="I6" s="105"/>
      <c r="J6" s="105"/>
      <c r="K6" s="105"/>
      <c r="L6" s="105"/>
      <c r="M6" s="291" t="s">
        <v>173</v>
      </c>
      <c r="N6" s="291"/>
      <c r="O6" s="162"/>
      <c r="P6" s="170" t="s">
        <v>164</v>
      </c>
      <c r="Q6" s="169"/>
      <c r="R6" s="170" t="s">
        <v>165</v>
      </c>
      <c r="S6" s="169"/>
    </row>
    <row r="7" spans="2:19" ht="12.75">
      <c r="B7" s="162" t="s">
        <v>12</v>
      </c>
      <c r="C7" s="168" t="s">
        <v>99</v>
      </c>
      <c r="D7" s="167" t="s">
        <v>100</v>
      </c>
      <c r="E7" s="168" t="s">
        <v>99</v>
      </c>
      <c r="F7" s="167" t="s">
        <v>100</v>
      </c>
      <c r="G7" s="168" t="s">
        <v>99</v>
      </c>
      <c r="H7" s="167" t="s">
        <v>100</v>
      </c>
      <c r="I7" s="168" t="s">
        <v>99</v>
      </c>
      <c r="J7" s="167" t="s">
        <v>100</v>
      </c>
      <c r="K7" s="168" t="s">
        <v>99</v>
      </c>
      <c r="L7" s="167" t="s">
        <v>100</v>
      </c>
      <c r="M7" s="168" t="s">
        <v>99</v>
      </c>
      <c r="N7" s="167" t="s">
        <v>100</v>
      </c>
      <c r="O7" s="105"/>
      <c r="P7" s="168" t="s">
        <v>99</v>
      </c>
      <c r="Q7" s="167" t="s">
        <v>100</v>
      </c>
      <c r="R7" s="168" t="s">
        <v>99</v>
      </c>
      <c r="S7" s="167" t="s">
        <v>100</v>
      </c>
    </row>
    <row r="8" spans="2:19" ht="12.75">
      <c r="B8" s="101"/>
      <c r="C8" s="102" t="s">
        <v>101</v>
      </c>
      <c r="D8" s="101"/>
      <c r="E8" s="102" t="s">
        <v>101</v>
      </c>
      <c r="F8" s="101"/>
      <c r="G8" s="102" t="s">
        <v>101</v>
      </c>
      <c r="H8" s="101"/>
      <c r="I8" s="102" t="s">
        <v>101</v>
      </c>
      <c r="J8" s="101"/>
      <c r="K8" s="102" t="s">
        <v>101</v>
      </c>
      <c r="L8" s="101"/>
      <c r="M8" s="102" t="s">
        <v>101</v>
      </c>
      <c r="N8" s="101"/>
      <c r="O8" s="101"/>
      <c r="P8" s="102" t="s">
        <v>101</v>
      </c>
      <c r="Q8" s="101"/>
      <c r="R8" s="102" t="s">
        <v>101</v>
      </c>
      <c r="S8" s="101"/>
    </row>
    <row r="9" spans="2:19" ht="12.75">
      <c r="B9" s="105"/>
      <c r="C9" s="105"/>
      <c r="D9" s="105"/>
      <c r="E9" s="105"/>
      <c r="F9" s="105"/>
      <c r="G9" s="105"/>
      <c r="H9" s="105"/>
      <c r="I9" s="105"/>
      <c r="J9" s="105"/>
      <c r="K9" s="105"/>
      <c r="L9" s="105"/>
      <c r="M9" s="105"/>
      <c r="N9" s="105"/>
      <c r="O9" s="105"/>
      <c r="P9" s="105"/>
      <c r="Q9" s="105"/>
      <c r="R9" s="105"/>
      <c r="S9" s="104"/>
    </row>
    <row r="10" spans="2:19" ht="12.75">
      <c r="B10" s="162" t="s">
        <v>102</v>
      </c>
      <c r="C10" s="108">
        <v>34569.75</v>
      </c>
      <c r="D10" s="108">
        <f>C10/$C$22*100</f>
        <v>99.31373340461835</v>
      </c>
      <c r="E10" s="108">
        <f>2247.75+0.86</f>
        <v>2248.61</v>
      </c>
      <c r="F10" s="108">
        <f>E10/$E$22*100</f>
        <v>98.93262703102245</v>
      </c>
      <c r="G10" s="108">
        <f>2556.31+0.69</f>
        <v>2557</v>
      </c>
      <c r="H10" s="108">
        <f>G10/$G$22*100</f>
        <v>98.50034477046762</v>
      </c>
      <c r="I10" s="108">
        <f>2311.26+279.67</f>
        <v>2590.9300000000003</v>
      </c>
      <c r="J10" s="108" t="e">
        <f>I10/$I$22*100</f>
        <v>#REF!</v>
      </c>
      <c r="K10" s="108">
        <f>20179.33798-62.7354-270.74011-20.96432-69.31</f>
        <v>19755.58815</v>
      </c>
      <c r="L10" s="108">
        <f>K10/$K$22*100</f>
        <v>95.37754997154696</v>
      </c>
      <c r="M10" s="108">
        <f>348.01+368.53+274.01+263.73+345.16+367.66</f>
        <v>1967.1000000000001</v>
      </c>
      <c r="N10" s="108">
        <f>M10/$M$22*100</f>
        <v>93.69775317827389</v>
      </c>
      <c r="O10" s="161">
        <f>M10-K10</f>
        <v>-17788.48815</v>
      </c>
      <c r="P10" s="108">
        <f>2340.71707-4.65</f>
        <v>2336.06707</v>
      </c>
      <c r="Q10" s="108">
        <f>P10/$P$22*100</f>
        <v>87.85493200870353</v>
      </c>
      <c r="R10" s="108">
        <f>2390.49-2.12</f>
        <v>2388.37</v>
      </c>
      <c r="S10" s="108">
        <f>+R10/$R$22*100</f>
        <v>86.67929636605804</v>
      </c>
    </row>
    <row r="11" spans="2:19" ht="12.75">
      <c r="B11" s="162"/>
      <c r="C11" s="108"/>
      <c r="D11" s="108"/>
      <c r="E11" s="108"/>
      <c r="F11" s="108"/>
      <c r="G11" s="108"/>
      <c r="H11" s="108"/>
      <c r="I11" s="108"/>
      <c r="J11" s="108"/>
      <c r="K11" s="108"/>
      <c r="L11" s="108"/>
      <c r="M11" s="108"/>
      <c r="N11" s="108"/>
      <c r="O11" s="105"/>
      <c r="P11" s="108"/>
      <c r="Q11" s="108"/>
      <c r="R11" s="108"/>
      <c r="S11" s="108"/>
    </row>
    <row r="12" spans="2:19" ht="12.75">
      <c r="B12" s="162" t="s">
        <v>103</v>
      </c>
      <c r="C12" s="108"/>
      <c r="D12" s="108"/>
      <c r="E12" s="108"/>
      <c r="F12" s="108"/>
      <c r="G12" s="108"/>
      <c r="H12" s="108"/>
      <c r="I12" s="108"/>
      <c r="J12" s="108"/>
      <c r="K12" s="108">
        <f>62.7354+270.74011+20.96432+69.31</f>
        <v>423.74983</v>
      </c>
      <c r="L12" s="108">
        <f>K12/$K$22*100</f>
        <v>2.0458120648895757</v>
      </c>
      <c r="M12" s="108">
        <v>0</v>
      </c>
      <c r="N12" s="108">
        <f>M12/$M$22*100</f>
        <v>0</v>
      </c>
      <c r="O12" s="161">
        <f>M12-K12</f>
        <v>-423.74983</v>
      </c>
      <c r="P12" s="108">
        <v>4.65</v>
      </c>
      <c r="Q12" s="108">
        <f>P12/$P$22*100</f>
        <v>0.1748774421277517</v>
      </c>
      <c r="R12" s="108">
        <v>2.12</v>
      </c>
      <c r="S12" s="108">
        <f>+R12/$R$22*100</f>
        <v>0.07693954801644765</v>
      </c>
    </row>
    <row r="13" spans="2:19" ht="12.75">
      <c r="B13" s="162"/>
      <c r="C13" s="108"/>
      <c r="D13" s="108"/>
      <c r="E13" s="108"/>
      <c r="F13" s="108"/>
      <c r="G13" s="108"/>
      <c r="H13" s="108"/>
      <c r="I13" s="108"/>
      <c r="J13" s="108"/>
      <c r="K13" s="108"/>
      <c r="L13" s="108"/>
      <c r="M13" s="108"/>
      <c r="N13" s="108"/>
      <c r="O13" s="105"/>
      <c r="P13" s="108"/>
      <c r="Q13" s="108"/>
      <c r="R13" s="108"/>
      <c r="S13" s="108"/>
    </row>
    <row r="14" spans="2:19" ht="12.75">
      <c r="B14" s="162" t="s">
        <v>104</v>
      </c>
      <c r="C14" s="108">
        <v>0</v>
      </c>
      <c r="D14" s="108">
        <f>C14/$C$22*100</f>
        <v>0</v>
      </c>
      <c r="E14" s="108">
        <v>0</v>
      </c>
      <c r="F14" s="108">
        <f>E14/$E$22*100</f>
        <v>0</v>
      </c>
      <c r="G14" s="108">
        <v>0</v>
      </c>
      <c r="H14" s="108">
        <f>G14/$G$22*100</f>
        <v>0</v>
      </c>
      <c r="I14" s="108">
        <v>0</v>
      </c>
      <c r="J14" s="108" t="e">
        <f>I14/$I$22*100</f>
        <v>#REF!</v>
      </c>
      <c r="K14" s="108">
        <v>1.07</v>
      </c>
      <c r="L14" s="108">
        <f>K14/$K$22*100</f>
        <v>0.005165828407369145</v>
      </c>
      <c r="M14" s="108">
        <v>0</v>
      </c>
      <c r="N14" s="108">
        <f>M14/$M$22*100</f>
        <v>0</v>
      </c>
      <c r="O14" s="161">
        <f>M14-K14</f>
        <v>-1.07</v>
      </c>
      <c r="P14" s="108">
        <v>11</v>
      </c>
      <c r="Q14" s="108">
        <f>P14/$P$22*100</f>
        <v>0.41368857277532656</v>
      </c>
      <c r="R14" s="108">
        <v>15.94</v>
      </c>
      <c r="S14" s="108">
        <f>+R14/$R$22*100</f>
        <v>0.5784982997085734</v>
      </c>
    </row>
    <row r="15" spans="2:19" ht="12.75">
      <c r="B15" s="162"/>
      <c r="C15" s="108"/>
      <c r="D15" s="108"/>
      <c r="E15" s="108"/>
      <c r="F15" s="108"/>
      <c r="G15" s="108"/>
      <c r="H15" s="108"/>
      <c r="I15" s="108"/>
      <c r="J15" s="108"/>
      <c r="K15" s="108"/>
      <c r="L15" s="108"/>
      <c r="M15" s="108"/>
      <c r="N15" s="108"/>
      <c r="O15" s="105"/>
      <c r="P15" s="108"/>
      <c r="Q15" s="108"/>
      <c r="R15" s="108"/>
      <c r="S15" s="108"/>
    </row>
    <row r="16" spans="2:26" ht="12.75">
      <c r="B16" s="162" t="s">
        <v>105</v>
      </c>
      <c r="C16" s="108">
        <v>238.88</v>
      </c>
      <c r="D16" s="108">
        <f>C16/$C$22*100</f>
        <v>0.6862665953816626</v>
      </c>
      <c r="E16" s="108">
        <v>24.26</v>
      </c>
      <c r="F16" s="108">
        <f>E16/$E$22*100</f>
        <v>1.0673729689775482</v>
      </c>
      <c r="G16" s="108">
        <v>38.93</v>
      </c>
      <c r="H16" s="108">
        <f>G16/$G$22*100</f>
        <v>1.4996552295323835</v>
      </c>
      <c r="I16" s="108">
        <f>70.11</f>
        <v>70.11</v>
      </c>
      <c r="J16" s="108" t="e">
        <f>I16/$I$22*100</f>
        <v>#REF!</v>
      </c>
      <c r="K16" s="108">
        <v>485.68</v>
      </c>
      <c r="L16" s="108">
        <f>K16/$K$22*100</f>
        <v>2.3448033092439684</v>
      </c>
      <c r="M16" s="108">
        <f>0.5+0.5+0.5+0.5+0.5+0.5</f>
        <v>3</v>
      </c>
      <c r="N16" s="108">
        <f>M16/$M$22*100</f>
        <v>0.14289729019105366</v>
      </c>
      <c r="O16" s="161">
        <f>M16-K16</f>
        <v>-482.68</v>
      </c>
      <c r="P16" s="108">
        <f>304.19998-19.46</f>
        <v>284.73998</v>
      </c>
      <c r="Q16" s="108">
        <f>P16/$P$22*100</f>
        <v>10.70851599438864</v>
      </c>
      <c r="R16" s="108">
        <f>221.58+127.4-20.16</f>
        <v>328.82</v>
      </c>
      <c r="S16" s="108">
        <f>+R16/$R$22*100</f>
        <v>11.933614235268072</v>
      </c>
      <c r="X16" s="133" t="s">
        <v>172</v>
      </c>
      <c r="Z16" s="84">
        <v>77.41</v>
      </c>
    </row>
    <row r="17" spans="2:19" ht="12.75">
      <c r="B17" s="162"/>
      <c r="C17" s="108"/>
      <c r="D17" s="108"/>
      <c r="E17" s="108"/>
      <c r="F17" s="108"/>
      <c r="G17" s="108"/>
      <c r="H17" s="108"/>
      <c r="I17" s="108"/>
      <c r="J17" s="108"/>
      <c r="K17" s="108"/>
      <c r="L17" s="108"/>
      <c r="M17" s="108"/>
      <c r="N17" s="108"/>
      <c r="O17" s="105"/>
      <c r="P17" s="108"/>
      <c r="Q17" s="108"/>
      <c r="R17" s="108"/>
      <c r="S17" s="108"/>
    </row>
    <row r="18" spans="2:19" ht="12.75">
      <c r="B18" s="166" t="s">
        <v>106</v>
      </c>
      <c r="C18" s="108">
        <v>0</v>
      </c>
      <c r="D18" s="108">
        <f>C18/$C$22*100</f>
        <v>0</v>
      </c>
      <c r="E18" s="108">
        <v>0</v>
      </c>
      <c r="F18" s="108">
        <f>E18/$E$22*100</f>
        <v>0</v>
      </c>
      <c r="G18" s="108">
        <v>0</v>
      </c>
      <c r="H18" s="108">
        <f>G18/$G$22*100</f>
        <v>0</v>
      </c>
      <c r="I18" s="108">
        <v>0</v>
      </c>
      <c r="J18" s="108" t="e">
        <f>I18/$I$22*100</f>
        <v>#REF!</v>
      </c>
      <c r="K18" s="108">
        <v>9.76</v>
      </c>
      <c r="L18" s="108">
        <f>K18/$K$22*100</f>
        <v>0.047120079678432576</v>
      </c>
      <c r="M18" s="108">
        <v>0</v>
      </c>
      <c r="N18" s="108">
        <f>M18/$M$22*100</f>
        <v>0</v>
      </c>
      <c r="O18" s="161">
        <f>M18-K18</f>
        <v>-9.76</v>
      </c>
      <c r="P18" s="108">
        <v>3.08799</v>
      </c>
      <c r="Q18" s="108">
        <f>P18/$P$22*100</f>
        <v>0.1161332887131346</v>
      </c>
      <c r="R18" s="108">
        <v>0</v>
      </c>
      <c r="S18" s="108">
        <f>+R18/$R$22*100</f>
        <v>0</v>
      </c>
    </row>
    <row r="19" spans="2:19" ht="12.75">
      <c r="B19" s="162"/>
      <c r="C19" s="108"/>
      <c r="D19" s="108"/>
      <c r="E19" s="108"/>
      <c r="F19" s="108"/>
      <c r="G19" s="108"/>
      <c r="H19" s="108"/>
      <c r="I19" s="108"/>
      <c r="J19" s="108"/>
      <c r="K19" s="108"/>
      <c r="L19" s="108"/>
      <c r="M19" s="108"/>
      <c r="N19" s="108"/>
      <c r="O19" s="105"/>
      <c r="P19" s="108"/>
      <c r="Q19" s="108"/>
      <c r="R19" s="108"/>
      <c r="S19" s="108"/>
    </row>
    <row r="20" spans="2:19" ht="12.75">
      <c r="B20" s="162" t="s">
        <v>171</v>
      </c>
      <c r="C20" s="108">
        <v>0</v>
      </c>
      <c r="D20" s="108">
        <f>C20/$C$22*100</f>
        <v>0</v>
      </c>
      <c r="E20" s="108">
        <v>0</v>
      </c>
      <c r="F20" s="108">
        <f>E20/$E$22*100</f>
        <v>0</v>
      </c>
      <c r="G20" s="108">
        <v>0</v>
      </c>
      <c r="H20" s="108">
        <f>G20/$G$22*100</f>
        <v>0</v>
      </c>
      <c r="I20" s="108" t="e">
        <f>+#REF!+E20+G20</f>
        <v>#REF!</v>
      </c>
      <c r="J20" s="108" t="e">
        <f>I20/$I$22*100</f>
        <v>#REF!</v>
      </c>
      <c r="K20" s="108">
        <v>37.19</v>
      </c>
      <c r="L20" s="108">
        <f>K20/$K$22*100</f>
        <v>0.1795487462336995</v>
      </c>
      <c r="M20" s="108">
        <f>19.83+22.74+16.08+14.56+21.88+34.22</f>
        <v>129.31</v>
      </c>
      <c r="N20" s="108">
        <f>M20/$M$22*100</f>
        <v>6.1593495315350495</v>
      </c>
      <c r="O20" s="161">
        <f>M20-K20</f>
        <v>92.12</v>
      </c>
      <c r="P20" s="108">
        <f>19.46</f>
        <v>19.46</v>
      </c>
      <c r="Q20" s="108">
        <f>P20/$P$22*100</f>
        <v>0.7318526932916231</v>
      </c>
      <c r="R20" s="108">
        <f>20.16</f>
        <v>20.16</v>
      </c>
      <c r="S20" s="108">
        <f>+R20/$R$22*100</f>
        <v>0.7316515509488607</v>
      </c>
    </row>
    <row r="21" spans="2:19" ht="12.75">
      <c r="B21" s="105"/>
      <c r="C21" s="108"/>
      <c r="D21" s="108"/>
      <c r="E21" s="108"/>
      <c r="F21" s="108"/>
      <c r="G21" s="108"/>
      <c r="H21" s="108"/>
      <c r="I21" s="108"/>
      <c r="J21" s="108"/>
      <c r="K21" s="108"/>
      <c r="L21" s="108"/>
      <c r="M21" s="108"/>
      <c r="N21" s="108"/>
      <c r="O21" s="105"/>
      <c r="P21" s="108"/>
      <c r="Q21" s="108"/>
      <c r="R21" s="108"/>
      <c r="S21" s="108"/>
    </row>
    <row r="22" spans="2:19" ht="12.75">
      <c r="B22" s="160" t="s">
        <v>71</v>
      </c>
      <c r="C22" s="112">
        <f>SUM(C10:C20)</f>
        <v>34808.63</v>
      </c>
      <c r="D22" s="112">
        <v>100</v>
      </c>
      <c r="E22" s="112">
        <f>SUM(E10:E20)</f>
        <v>2272.8700000000003</v>
      </c>
      <c r="F22" s="112">
        <f>E22/$E$22*100</f>
        <v>100</v>
      </c>
      <c r="G22" s="112">
        <f>SUM(G10:G20)</f>
        <v>2595.93</v>
      </c>
      <c r="H22" s="112">
        <f>G22/$G$22*100</f>
        <v>100</v>
      </c>
      <c r="I22" s="112" t="e">
        <f>SUM(I10:I20)</f>
        <v>#REF!</v>
      </c>
      <c r="J22" s="112" t="e">
        <f>I22/$I$22*100</f>
        <v>#REF!</v>
      </c>
      <c r="K22" s="112">
        <f>SUM(K10:K20)</f>
        <v>20713.037979999997</v>
      </c>
      <c r="L22" s="112">
        <f>K22/$K$22*100</f>
        <v>100</v>
      </c>
      <c r="M22" s="112">
        <f>SUM(M10:M20)</f>
        <v>2099.4100000000003</v>
      </c>
      <c r="N22" s="112">
        <f>M22/$M$22*100</f>
        <v>100</v>
      </c>
      <c r="O22" s="159">
        <f>M22-K22</f>
        <v>-18613.627979999997</v>
      </c>
      <c r="P22" s="112">
        <f>SUM(P10:P20)</f>
        <v>2659.00504</v>
      </c>
      <c r="Q22" s="112">
        <f>P22/$P$22*100</f>
        <v>100</v>
      </c>
      <c r="R22" s="112">
        <f>SUM(R10:R20)</f>
        <v>2755.41</v>
      </c>
      <c r="S22" s="112">
        <f>SUM(S10:S20)</f>
        <v>99.99999999999999</v>
      </c>
    </row>
    <row r="23" spans="2:19" ht="12.75">
      <c r="B23" s="105"/>
      <c r="C23" s="108"/>
      <c r="D23" s="108"/>
      <c r="E23" s="108"/>
      <c r="F23" s="108"/>
      <c r="G23" s="108"/>
      <c r="H23" s="108"/>
      <c r="I23" s="108"/>
      <c r="J23" s="108"/>
      <c r="K23" s="108"/>
      <c r="L23" s="108"/>
      <c r="M23" s="108"/>
      <c r="N23" s="108"/>
      <c r="O23" s="105"/>
      <c r="P23" s="108"/>
      <c r="Q23" s="108"/>
      <c r="R23" s="108"/>
      <c r="S23" s="108"/>
    </row>
    <row r="24" spans="2:19" ht="12.75">
      <c r="B24" s="162" t="s">
        <v>108</v>
      </c>
      <c r="C24" s="108"/>
      <c r="D24" s="108"/>
      <c r="E24" s="108"/>
      <c r="F24" s="108"/>
      <c r="G24" s="108"/>
      <c r="H24" s="108"/>
      <c r="I24" s="108"/>
      <c r="J24" s="108"/>
      <c r="K24" s="108"/>
      <c r="L24" s="108"/>
      <c r="M24" s="108"/>
      <c r="N24" s="108"/>
      <c r="O24" s="105"/>
      <c r="P24" s="108"/>
      <c r="Q24" s="108"/>
      <c r="R24" s="108"/>
      <c r="S24" s="108"/>
    </row>
    <row r="25" spans="2:19" ht="12.75">
      <c r="B25" s="162"/>
      <c r="C25" s="108"/>
      <c r="D25" s="108"/>
      <c r="E25" s="108"/>
      <c r="F25" s="108"/>
      <c r="G25" s="108"/>
      <c r="H25" s="108"/>
      <c r="I25" s="108"/>
      <c r="J25" s="108"/>
      <c r="K25" s="108"/>
      <c r="L25" s="108"/>
      <c r="M25" s="108"/>
      <c r="N25" s="108"/>
      <c r="O25" s="105"/>
      <c r="P25" s="108"/>
      <c r="Q25" s="108"/>
      <c r="R25" s="108"/>
      <c r="S25" s="108"/>
    </row>
    <row r="26" spans="2:19" ht="12.75">
      <c r="B26" s="162" t="s">
        <v>109</v>
      </c>
      <c r="C26" s="162">
        <v>20704.68</v>
      </c>
      <c r="D26" s="108">
        <f>C26/$C$22*100</f>
        <v>59.48145617911421</v>
      </c>
      <c r="E26" s="108">
        <f>1551.06+13.27-168.65+0.73</f>
        <v>1396.4099999999999</v>
      </c>
      <c r="F26" s="108">
        <f>E26/$E$22*100</f>
        <v>61.43818168219034</v>
      </c>
      <c r="G26" s="108">
        <f>1342.92+9.12+233.13-0.22+0.82</f>
        <v>1585.77</v>
      </c>
      <c r="H26" s="108">
        <f>G26/$G$22*100</f>
        <v>61.0867781488715</v>
      </c>
      <c r="I26" s="108">
        <f>1476.64+27.91+600.4-692.7+3381.96-3500.61+154.3-52.22+163.71</f>
        <v>1559.3899999999999</v>
      </c>
      <c r="J26" s="108" t="e">
        <f>I26/$I$22*100</f>
        <v>#REF!</v>
      </c>
      <c r="K26" s="108">
        <f>13503.91+500.16665-124.93716-305.80796-19.55-82.23714-1.07661-0.34813</f>
        <v>13470.11965</v>
      </c>
      <c r="L26" s="108">
        <f>K26/$K$22*100</f>
        <v>65.03208106414144</v>
      </c>
      <c r="M26" s="108">
        <f>138.5+144.86+98.6+97.62+157+169.84</f>
        <v>806.4200000000001</v>
      </c>
      <c r="N26" s="108">
        <f>M26/$M$22*100</f>
        <v>38.4117442519565</v>
      </c>
      <c r="O26" s="161">
        <f>M26-K26</f>
        <v>-12663.69965</v>
      </c>
      <c r="P26" s="108">
        <f>1070.2493+11.91727+224.38094</f>
        <v>1306.5475099999999</v>
      </c>
      <c r="Q26" s="108">
        <f>P26/$P$22*100</f>
        <v>49.13670678864151</v>
      </c>
      <c r="R26" s="108">
        <v>1216.77</v>
      </c>
      <c r="S26" s="108">
        <f>+R26/$R$22*100</f>
        <v>44.159308415081604</v>
      </c>
    </row>
    <row r="27" spans="2:19" ht="12.75">
      <c r="B27" s="162"/>
      <c r="C27" s="162"/>
      <c r="D27" s="108"/>
      <c r="E27" s="108"/>
      <c r="F27" s="108"/>
      <c r="G27" s="108"/>
      <c r="H27" s="108"/>
      <c r="I27" s="108"/>
      <c r="J27" s="108"/>
      <c r="K27" s="108"/>
      <c r="L27" s="108"/>
      <c r="M27" s="108"/>
      <c r="N27" s="108"/>
      <c r="O27" s="105"/>
      <c r="P27" s="108"/>
      <c r="Q27" s="108"/>
      <c r="R27" s="108"/>
      <c r="S27" s="108"/>
    </row>
    <row r="28" spans="2:19" ht="12.75">
      <c r="B28" s="162" t="s">
        <v>110</v>
      </c>
      <c r="C28" s="162"/>
      <c r="D28" s="108"/>
      <c r="E28" s="108"/>
      <c r="F28" s="108"/>
      <c r="G28" s="108"/>
      <c r="H28" s="108"/>
      <c r="I28" s="108"/>
      <c r="J28" s="108"/>
      <c r="K28" s="108">
        <f>48.44679+33.79035</f>
        <v>82.23714</v>
      </c>
      <c r="L28" s="108">
        <f>K28/$K$22*100</f>
        <v>0.3970307980867228</v>
      </c>
      <c r="M28" s="108">
        <v>0</v>
      </c>
      <c r="N28" s="108">
        <f>M28/$M$22*100</f>
        <v>0</v>
      </c>
      <c r="O28" s="161">
        <f>M28-K28</f>
        <v>-82.23714</v>
      </c>
      <c r="P28" s="108">
        <v>0</v>
      </c>
      <c r="Q28" s="108">
        <f>P28/$P$22*100</f>
        <v>0</v>
      </c>
      <c r="R28" s="108">
        <v>0</v>
      </c>
      <c r="S28" s="108">
        <f>+R28/$R$22*100</f>
        <v>0</v>
      </c>
    </row>
    <row r="29" spans="2:19" ht="12.75">
      <c r="B29" s="162"/>
      <c r="C29" s="162"/>
      <c r="D29" s="108"/>
      <c r="E29" s="108"/>
      <c r="F29" s="108"/>
      <c r="G29" s="108"/>
      <c r="H29" s="108"/>
      <c r="I29" s="108"/>
      <c r="J29" s="108"/>
      <c r="K29" s="108"/>
      <c r="L29" s="108"/>
      <c r="M29" s="108"/>
      <c r="N29" s="108"/>
      <c r="O29" s="105"/>
      <c r="P29" s="108"/>
      <c r="Q29" s="108"/>
      <c r="R29" s="108"/>
      <c r="S29" s="108"/>
    </row>
    <row r="30" spans="2:19" ht="12.75">
      <c r="B30" s="162" t="s">
        <v>111</v>
      </c>
      <c r="C30" s="162"/>
      <c r="D30" s="108"/>
      <c r="E30" s="108"/>
      <c r="F30" s="108"/>
      <c r="G30" s="108"/>
      <c r="H30" s="108"/>
      <c r="I30" s="108"/>
      <c r="J30" s="108"/>
      <c r="K30" s="108">
        <f>124.93716+305.80796+19.55+1.07661+0.34813</f>
        <v>451.71986000000004</v>
      </c>
      <c r="L30" s="108">
        <f>K30/$K$22*100</f>
        <v>2.180847929869919</v>
      </c>
      <c r="M30" s="108">
        <v>0</v>
      </c>
      <c r="N30" s="108">
        <f>M30/$M$22*100</f>
        <v>0</v>
      </c>
      <c r="O30" s="161">
        <f>M30-K30</f>
        <v>-451.71986000000004</v>
      </c>
      <c r="P30" s="108">
        <v>5.06</v>
      </c>
      <c r="Q30" s="108">
        <f>P30/$P$22*100</f>
        <v>0.19029674347665018</v>
      </c>
      <c r="R30" s="108">
        <v>1.52</v>
      </c>
      <c r="S30" s="108">
        <f>+R30/$R$22*100</f>
        <v>0.05516420423820774</v>
      </c>
    </row>
    <row r="31" spans="2:19" ht="12.75">
      <c r="B31" s="162"/>
      <c r="C31" s="162"/>
      <c r="D31" s="108"/>
      <c r="E31" s="108"/>
      <c r="F31" s="108"/>
      <c r="G31" s="108"/>
      <c r="H31" s="108"/>
      <c r="I31" s="108"/>
      <c r="J31" s="108"/>
      <c r="K31" s="108"/>
      <c r="L31" s="108"/>
      <c r="M31" s="108"/>
      <c r="N31" s="108"/>
      <c r="O31" s="105"/>
      <c r="P31" s="108"/>
      <c r="Q31" s="108"/>
      <c r="R31" s="108"/>
      <c r="S31" s="108"/>
    </row>
    <row r="32" spans="2:19" ht="12.75">
      <c r="B32" s="162" t="s">
        <v>112</v>
      </c>
      <c r="C32" s="162"/>
      <c r="D32" s="108"/>
      <c r="E32" s="108"/>
      <c r="F32" s="108"/>
      <c r="G32" s="108"/>
      <c r="H32" s="108"/>
      <c r="I32" s="108"/>
      <c r="J32" s="108"/>
      <c r="K32" s="108">
        <f>-2023.37698</f>
        <v>-2023.37698</v>
      </c>
      <c r="L32" s="108">
        <f>K32/$K$22*100</f>
        <v>-9.768615216916626</v>
      </c>
      <c r="M32" s="108">
        <v>0</v>
      </c>
      <c r="N32" s="108">
        <f>M32/$M$22*100</f>
        <v>0</v>
      </c>
      <c r="O32" s="161">
        <f>M32-K32</f>
        <v>2023.37698</v>
      </c>
      <c r="P32" s="108">
        <v>-326.37</v>
      </c>
      <c r="Q32" s="108">
        <f>P32/$P$22*100</f>
        <v>-12.274139954243939</v>
      </c>
      <c r="R32" s="108">
        <v>-338.53</v>
      </c>
      <c r="S32" s="108">
        <f>+R32/$R$22*100</f>
        <v>-12.286011882079254</v>
      </c>
    </row>
    <row r="33" spans="2:19" ht="12.75">
      <c r="B33" s="162"/>
      <c r="C33" s="162"/>
      <c r="D33" s="108"/>
      <c r="E33" s="108"/>
      <c r="F33" s="108"/>
      <c r="G33" s="108"/>
      <c r="H33" s="108"/>
      <c r="I33" s="108"/>
      <c r="J33" s="108"/>
      <c r="K33" s="108"/>
      <c r="L33" s="108"/>
      <c r="M33" s="108"/>
      <c r="N33" s="108"/>
      <c r="O33" s="105"/>
      <c r="P33" s="108"/>
      <c r="Q33" s="108"/>
      <c r="R33" s="108"/>
      <c r="S33" s="108"/>
    </row>
    <row r="34" spans="2:19" ht="12.75">
      <c r="B34" s="162" t="s">
        <v>113</v>
      </c>
      <c r="C34" s="162">
        <f>715.9+655.2+556.38</f>
        <v>1927.48</v>
      </c>
      <c r="D34" s="108">
        <f>C34/$C$22*100</f>
        <v>5.537362429949125</v>
      </c>
      <c r="E34" s="108">
        <f>9.4+64.43+41.59</f>
        <v>115.42000000000002</v>
      </c>
      <c r="F34" s="108">
        <f>E34/$E$22*100</f>
        <v>5.078161091483454</v>
      </c>
      <c r="G34" s="108">
        <f>18.53+66.95+58.92</f>
        <v>144.4</v>
      </c>
      <c r="H34" s="108">
        <f>G34/$G$22*100</f>
        <v>5.5625536898144405</v>
      </c>
      <c r="I34" s="108">
        <f>22.76+65.34+60.73</f>
        <v>148.83</v>
      </c>
      <c r="J34" s="108" t="e">
        <f>I34/$I$22*100</f>
        <v>#REF!</v>
      </c>
      <c r="K34" s="108">
        <f>478.15737</f>
        <v>478.15737</v>
      </c>
      <c r="L34" s="108">
        <f>K34/$K$22*100</f>
        <v>2.308484976765345</v>
      </c>
      <c r="M34" s="108">
        <f>11.72+11.79+10.13+14.47+23.24+15.46</f>
        <v>86.81</v>
      </c>
      <c r="N34" s="108">
        <f>M34/$M$22*100</f>
        <v>4.134971253828456</v>
      </c>
      <c r="O34" s="161">
        <f>M34-K34</f>
        <v>-391.34737</v>
      </c>
      <c r="P34" s="108">
        <f>105.07921</f>
        <v>105.07921</v>
      </c>
      <c r="Q34" s="108">
        <f>P34/$P$22*100</f>
        <v>3.951824401205347</v>
      </c>
      <c r="R34" s="108">
        <v>161.12</v>
      </c>
      <c r="S34" s="108">
        <f>+R34/$R$22*100</f>
        <v>5.847405649250021</v>
      </c>
    </row>
    <row r="35" spans="2:19" ht="12.75">
      <c r="B35" s="162"/>
      <c r="C35" s="162"/>
      <c r="D35" s="108"/>
      <c r="E35" s="108"/>
      <c r="F35" s="108"/>
      <c r="G35" s="108"/>
      <c r="H35" s="108"/>
      <c r="I35" s="108"/>
      <c r="J35" s="108"/>
      <c r="K35" s="108"/>
      <c r="L35" s="108"/>
      <c r="M35" s="108"/>
      <c r="N35" s="108"/>
      <c r="O35" s="105"/>
      <c r="P35" s="108"/>
      <c r="Q35" s="108"/>
      <c r="R35" s="108"/>
      <c r="S35" s="108"/>
    </row>
    <row r="36" spans="2:19" ht="12.75">
      <c r="B36" s="162" t="s">
        <v>114</v>
      </c>
      <c r="C36" s="162"/>
      <c r="D36" s="108"/>
      <c r="E36" s="108"/>
      <c r="F36" s="108"/>
      <c r="G36" s="108"/>
      <c r="H36" s="108"/>
      <c r="I36" s="108"/>
      <c r="J36" s="108"/>
      <c r="K36" s="108">
        <f>441.26725</f>
        <v>441.26725</v>
      </c>
      <c r="L36" s="108">
        <f>K36/$K$22*100</f>
        <v>2.1303840142912733</v>
      </c>
      <c r="M36" s="108">
        <f>10.64+10.02+5.9+9.37+7.54+9.3</f>
        <v>52.769999999999996</v>
      </c>
      <c r="N36" s="108">
        <f>M36/$M$22*100</f>
        <v>2.513563334460634</v>
      </c>
      <c r="O36" s="161">
        <f>M36-K36</f>
        <v>-388.49725</v>
      </c>
      <c r="P36" s="108">
        <f>74.88936</f>
        <v>74.88936</v>
      </c>
      <c r="Q36" s="108">
        <f>P36/$P$22*100</f>
        <v>2.816442950405239</v>
      </c>
      <c r="R36" s="108">
        <v>81.11</v>
      </c>
      <c r="S36" s="108">
        <f>+R36/$R$22*100</f>
        <v>2.9436635564217304</v>
      </c>
    </row>
    <row r="37" spans="2:19" ht="12.75">
      <c r="B37" s="162"/>
      <c r="C37" s="162"/>
      <c r="D37" s="108"/>
      <c r="E37" s="108"/>
      <c r="F37" s="108"/>
      <c r="G37" s="108"/>
      <c r="H37" s="108"/>
      <c r="I37" s="108"/>
      <c r="J37" s="108"/>
      <c r="K37" s="108"/>
      <c r="L37" s="108"/>
      <c r="M37" s="108"/>
      <c r="N37" s="108"/>
      <c r="O37" s="105"/>
      <c r="P37" s="108"/>
      <c r="Q37" s="108"/>
      <c r="R37" s="108"/>
      <c r="S37" s="108"/>
    </row>
    <row r="38" spans="2:19" ht="12.75">
      <c r="B38" s="162" t="s">
        <v>115</v>
      </c>
      <c r="C38" s="162"/>
      <c r="D38" s="108"/>
      <c r="E38" s="108"/>
      <c r="F38" s="108"/>
      <c r="G38" s="108"/>
      <c r="H38" s="108"/>
      <c r="I38" s="108"/>
      <c r="J38" s="108"/>
      <c r="K38" s="108">
        <f>1181.8864-478.15736-441.26726+0.06934</f>
        <v>262.53112000000016</v>
      </c>
      <c r="L38" s="108">
        <f>K38/$K$22*100</f>
        <v>1.2674679602938679</v>
      </c>
      <c r="M38" s="108">
        <f>27.14+26.27+5+17.93+5+14.55+4.5+21.12+4.5+22.28+5</f>
        <v>153.29000000000002</v>
      </c>
      <c r="N38" s="108">
        <f>M38/$M$22*100</f>
        <v>7.301575204462206</v>
      </c>
      <c r="O38" s="161">
        <f>M38-K38</f>
        <v>-109.24112000000014</v>
      </c>
      <c r="P38" s="108">
        <v>54.36372</v>
      </c>
      <c r="Q38" s="108">
        <f>P38/$P$22*100</f>
        <v>2.044513612505225</v>
      </c>
      <c r="R38" s="108">
        <v>62.75</v>
      </c>
      <c r="S38" s="108">
        <f>+R38/$R$22*100</f>
        <v>2.2773380368075897</v>
      </c>
    </row>
    <row r="39" spans="2:19" ht="12.75">
      <c r="B39" s="162"/>
      <c r="C39" s="162"/>
      <c r="D39" s="108"/>
      <c r="E39" s="108"/>
      <c r="F39" s="108"/>
      <c r="G39" s="108"/>
      <c r="H39" s="108"/>
      <c r="I39" s="108"/>
      <c r="J39" s="108"/>
      <c r="K39" s="108"/>
      <c r="L39" s="108"/>
      <c r="M39" s="108"/>
      <c r="N39" s="108"/>
      <c r="O39" s="105"/>
      <c r="P39" s="108"/>
      <c r="Q39" s="108"/>
      <c r="R39" s="108"/>
      <c r="S39" s="108"/>
    </row>
    <row r="40" spans="2:19" ht="12.75">
      <c r="B40" s="162" t="s">
        <v>116</v>
      </c>
      <c r="C40" s="162">
        <v>37.34</v>
      </c>
      <c r="D40" s="108">
        <f>C40/$C$22*100</f>
        <v>0.10727224829015106</v>
      </c>
      <c r="E40" s="108">
        <f>3.29+0.58</f>
        <v>3.87</v>
      </c>
      <c r="F40" s="108">
        <f>E40/$E$22*100</f>
        <v>0.17026930708751487</v>
      </c>
      <c r="G40" s="108">
        <f>2.01+1.11</f>
        <v>3.12</v>
      </c>
      <c r="H40" s="108">
        <f>G40/$G$22*100</f>
        <v>0.12018814066635079</v>
      </c>
      <c r="I40" s="108">
        <f>3.74+4.16</f>
        <v>7.9</v>
      </c>
      <c r="J40" s="108" t="e">
        <f>I40/$I$22*100</f>
        <v>#REF!</v>
      </c>
      <c r="K40" s="108">
        <v>51.24314</v>
      </c>
      <c r="L40" s="108">
        <f>K40/$K$22*100</f>
        <v>0.24739557784560195</v>
      </c>
      <c r="M40" s="108">
        <f>6.27+3.31+1.85+7.87+9.93</f>
        <v>29.23</v>
      </c>
      <c r="N40" s="108">
        <f>M40/$M$22*100</f>
        <v>1.3922959307614995</v>
      </c>
      <c r="O40" s="161">
        <f>M40-K40</f>
        <v>-22.013139999999996</v>
      </c>
      <c r="P40" s="108">
        <v>116.57</v>
      </c>
      <c r="Q40" s="108">
        <f>P40/$P$22*100</f>
        <v>4.383970629856346</v>
      </c>
      <c r="R40" s="108">
        <v>94.24</v>
      </c>
      <c r="S40" s="108">
        <f>+R40/$R$22*100</f>
        <v>3.42018066276888</v>
      </c>
    </row>
    <row r="41" spans="2:19" ht="12.75">
      <c r="B41" s="162"/>
      <c r="C41" s="162"/>
      <c r="D41" s="108"/>
      <c r="E41" s="108"/>
      <c r="F41" s="108"/>
      <c r="G41" s="108"/>
      <c r="H41" s="108"/>
      <c r="I41" s="108"/>
      <c r="J41" s="108"/>
      <c r="K41" s="108"/>
      <c r="L41" s="108"/>
      <c r="M41" s="108"/>
      <c r="N41" s="108"/>
      <c r="O41" s="105"/>
      <c r="P41" s="108"/>
      <c r="Q41" s="108"/>
      <c r="R41" s="108"/>
      <c r="S41" s="108"/>
    </row>
    <row r="42" spans="2:19" ht="12.75">
      <c r="B42" s="162" t="s">
        <v>117</v>
      </c>
      <c r="C42" s="162">
        <v>2217.09</v>
      </c>
      <c r="D42" s="108">
        <f>C42/$C$22*100</f>
        <v>6.36936874562429</v>
      </c>
      <c r="E42" s="108">
        <v>215.07</v>
      </c>
      <c r="F42" s="108">
        <f>E42/$E$22*100</f>
        <v>9.462485755894528</v>
      </c>
      <c r="G42" s="108">
        <v>230.55</v>
      </c>
      <c r="H42" s="108">
        <f>G42/$G$22*100</f>
        <v>8.881210202124096</v>
      </c>
      <c r="I42" s="108">
        <v>209.92</v>
      </c>
      <c r="J42" s="108" t="e">
        <f>I42/$I$22*100</f>
        <v>#REF!</v>
      </c>
      <c r="K42" s="108">
        <f>1910.36868+73.01056</f>
        <v>1983.37924</v>
      </c>
      <c r="L42" s="108">
        <f>K42/$K$22*100</f>
        <v>9.57551104726937</v>
      </c>
      <c r="M42" s="108">
        <f>24+24+22+21+21+22.5</f>
        <v>134.5</v>
      </c>
      <c r="N42" s="108">
        <f>M42/$M$22*100</f>
        <v>6.406561843565573</v>
      </c>
      <c r="O42" s="161">
        <f>M42-K42</f>
        <v>-1848.87924</v>
      </c>
      <c r="P42" s="108">
        <v>193.38</v>
      </c>
      <c r="Q42" s="108">
        <f>P42/$P$22*100</f>
        <v>7.27264510939024</v>
      </c>
      <c r="R42" s="108">
        <v>201.97</v>
      </c>
      <c r="S42" s="108">
        <f>+R42/$R$22*100</f>
        <v>7.329943638151855</v>
      </c>
    </row>
    <row r="43" spans="2:19" ht="12.75">
      <c r="B43" s="162"/>
      <c r="C43" s="108"/>
      <c r="D43" s="108"/>
      <c r="E43" s="108"/>
      <c r="F43" s="108"/>
      <c r="G43" s="108"/>
      <c r="H43" s="108"/>
      <c r="I43" s="108"/>
      <c r="J43" s="108"/>
      <c r="K43" s="108"/>
      <c r="L43" s="108"/>
      <c r="M43" s="108"/>
      <c r="N43" s="108"/>
      <c r="O43" s="105"/>
      <c r="P43" s="108"/>
      <c r="Q43" s="108"/>
      <c r="R43" s="108"/>
      <c r="S43" s="108"/>
    </row>
    <row r="44" spans="2:19" ht="12.75">
      <c r="B44" s="162" t="s">
        <v>118</v>
      </c>
      <c r="C44" s="162">
        <v>736.39</v>
      </c>
      <c r="D44" s="108">
        <f>C44/$C$22*100</f>
        <v>2.1155385891372345</v>
      </c>
      <c r="E44" s="108">
        <v>57.33</v>
      </c>
      <c r="F44" s="108">
        <f>E44/$E$22*100</f>
        <v>2.52236159569179</v>
      </c>
      <c r="G44" s="108">
        <v>37.52</v>
      </c>
      <c r="H44" s="108">
        <f>G44/$G$22*100</f>
        <v>1.4453394351927826</v>
      </c>
      <c r="I44" s="108">
        <v>61.38</v>
      </c>
      <c r="J44" s="108" t="e">
        <f>I44/$I$22*100</f>
        <v>#REF!</v>
      </c>
      <c r="K44" s="108">
        <f>491.53824</f>
        <v>491.53824</v>
      </c>
      <c r="L44" s="108">
        <f>K44/$K$22*100</f>
        <v>2.3730861714955442</v>
      </c>
      <c r="M44" s="108">
        <f>2.5+2.5+2.5+1.5+1.5+3</f>
        <v>13.5</v>
      </c>
      <c r="N44" s="108">
        <f>M44/$M$22*100</f>
        <v>0.6430378058597415</v>
      </c>
      <c r="O44" s="161">
        <f>M44-K44</f>
        <v>-478.03824</v>
      </c>
      <c r="P44" s="108">
        <v>13.52</v>
      </c>
      <c r="Q44" s="108">
        <f>P44/$P$22*100</f>
        <v>0.5084608639929468</v>
      </c>
      <c r="R44" s="108">
        <v>17.53</v>
      </c>
      <c r="S44" s="108">
        <f>+R44/$R$22*100</f>
        <v>0.6362029607209091</v>
      </c>
    </row>
    <row r="45" spans="2:19" ht="12.75">
      <c r="B45" s="162"/>
      <c r="C45" s="162"/>
      <c r="D45" s="108"/>
      <c r="E45" s="108"/>
      <c r="F45" s="108"/>
      <c r="G45" s="108"/>
      <c r="H45" s="108"/>
      <c r="I45" s="108"/>
      <c r="J45" s="108"/>
      <c r="K45" s="108"/>
      <c r="L45" s="108"/>
      <c r="M45" s="108"/>
      <c r="N45" s="108"/>
      <c r="O45" s="105"/>
      <c r="P45" s="108"/>
      <c r="Q45" s="108"/>
      <c r="R45" s="108"/>
      <c r="S45" s="108"/>
    </row>
    <row r="46" spans="2:19" ht="12.75">
      <c r="B46" s="162" t="s">
        <v>119</v>
      </c>
      <c r="C46" s="162">
        <f>920.17+384.86</f>
        <v>1305.03</v>
      </c>
      <c r="D46" s="108">
        <f>C46/$C$22*100</f>
        <v>3.7491564591884257</v>
      </c>
      <c r="E46" s="108">
        <f>32.59-5.89+0.01</f>
        <v>26.710000000000004</v>
      </c>
      <c r="F46" s="108">
        <f>E46/$E$22*100</f>
        <v>1.1751661995626674</v>
      </c>
      <c r="G46" s="108">
        <f>50+22</f>
        <v>72</v>
      </c>
      <c r="H46" s="108">
        <f>G46/$G$22*100</f>
        <v>2.7735724769157875</v>
      </c>
      <c r="I46" s="108">
        <f>70.56+44.53</f>
        <v>115.09</v>
      </c>
      <c r="J46" s="108" t="e">
        <f>I46/$I$22*100</f>
        <v>#REF!</v>
      </c>
      <c r="K46" s="108">
        <f>851.65662</f>
        <v>851.65662</v>
      </c>
      <c r="L46" s="108">
        <f>K46/$K$22*100</f>
        <v>4.111693421420551</v>
      </c>
      <c r="M46" s="108">
        <f>26.8+11.49+30.1+20.83+19.17+21.29+24.5</f>
        <v>154.18</v>
      </c>
      <c r="N46" s="108">
        <f>M46/$M$22*100</f>
        <v>7.343968067218884</v>
      </c>
      <c r="O46" s="161">
        <f>M46-K46</f>
        <v>-697.4766199999999</v>
      </c>
      <c r="P46" s="108">
        <v>101.41</v>
      </c>
      <c r="Q46" s="108">
        <f>P46/$P$22*100</f>
        <v>3.813832560467806</v>
      </c>
      <c r="R46" s="108">
        <v>193.2</v>
      </c>
      <c r="S46" s="108">
        <f>+R46/$R$22*100</f>
        <v>7.011660696593247</v>
      </c>
    </row>
    <row r="47" spans="2:19" ht="12.75">
      <c r="B47" s="162"/>
      <c r="C47" s="108"/>
      <c r="D47" s="108"/>
      <c r="E47" s="108"/>
      <c r="F47" s="108"/>
      <c r="G47" s="108"/>
      <c r="H47" s="108"/>
      <c r="I47" s="108"/>
      <c r="J47" s="108"/>
      <c r="K47" s="108"/>
      <c r="L47" s="108"/>
      <c r="M47" s="108"/>
      <c r="N47" s="108"/>
      <c r="O47" s="105"/>
      <c r="P47" s="108"/>
      <c r="Q47" s="108"/>
      <c r="R47" s="108"/>
      <c r="S47" s="108"/>
    </row>
    <row r="48" spans="2:19" ht="12.75">
      <c r="B48" s="160" t="s">
        <v>120</v>
      </c>
      <c r="C48" s="112">
        <f>SUM(C26:C47)</f>
        <v>26928.01</v>
      </c>
      <c r="D48" s="112">
        <f>C48/$C$22*100</f>
        <v>77.36015465130343</v>
      </c>
      <c r="E48" s="112">
        <f>SUM(E26:E47)</f>
        <v>1814.8099999999997</v>
      </c>
      <c r="F48" s="112">
        <f>E48/$E$22*100</f>
        <v>79.8466256319103</v>
      </c>
      <c r="G48" s="112">
        <f>SUM(G26:G47)</f>
        <v>2073.3599999999997</v>
      </c>
      <c r="H48" s="112">
        <f>G48/$G$22*100</f>
        <v>79.86964209358494</v>
      </c>
      <c r="I48" s="112">
        <f>SUM(I26:I47)</f>
        <v>2102.51</v>
      </c>
      <c r="J48" s="112" t="e">
        <f>I48/$I$22*100</f>
        <v>#REF!</v>
      </c>
      <c r="K48" s="112">
        <f>SUM(K26:K47)</f>
        <v>16540.47265</v>
      </c>
      <c r="L48" s="112">
        <f>K48/$K$22*100</f>
        <v>79.85536774456298</v>
      </c>
      <c r="M48" s="112">
        <f>SUM(M26:M47)</f>
        <v>1430.7</v>
      </c>
      <c r="N48" s="112">
        <f>M48/$M$22*100</f>
        <v>68.14771769211349</v>
      </c>
      <c r="O48" s="159">
        <f>M48-K48</f>
        <v>-15109.772649999999</v>
      </c>
      <c r="P48" s="112">
        <f>SUM(P26:P47)</f>
        <v>1644.4497999999996</v>
      </c>
      <c r="Q48" s="112">
        <f>P48/$P$22*100</f>
        <v>61.84455370569736</v>
      </c>
      <c r="R48" s="112">
        <f>SUM(R26:R47)</f>
        <v>1691.68</v>
      </c>
      <c r="S48" s="112">
        <f>+R48/$R$22*100</f>
        <v>61.394855937954794</v>
      </c>
    </row>
    <row r="49" spans="2:19" ht="12.75">
      <c r="B49" s="162"/>
      <c r="C49" s="108"/>
      <c r="D49" s="108"/>
      <c r="E49" s="108"/>
      <c r="F49" s="108"/>
      <c r="G49" s="108"/>
      <c r="H49" s="108"/>
      <c r="I49" s="108"/>
      <c r="J49" s="108"/>
      <c r="K49" s="108"/>
      <c r="L49" s="108"/>
      <c r="M49" s="108"/>
      <c r="N49" s="108"/>
      <c r="O49" s="105"/>
      <c r="P49" s="108"/>
      <c r="Q49" s="108"/>
      <c r="R49" s="108"/>
      <c r="S49" s="108"/>
    </row>
    <row r="50" spans="2:19" ht="12.75">
      <c r="B50" s="160" t="s">
        <v>121</v>
      </c>
      <c r="C50" s="112">
        <f>C22-C48</f>
        <v>7880.619999999999</v>
      </c>
      <c r="D50" s="112">
        <f>C50/$C$22*100</f>
        <v>22.63984534869657</v>
      </c>
      <c r="E50" s="112">
        <f>E22-E48</f>
        <v>458.0600000000006</v>
      </c>
      <c r="F50" s="112">
        <f>E50/$E$22*100</f>
        <v>20.153374368089708</v>
      </c>
      <c r="G50" s="112">
        <f>G22-G48</f>
        <v>522.5700000000002</v>
      </c>
      <c r="H50" s="112">
        <f>G50/$G$22*100</f>
        <v>20.13035790641505</v>
      </c>
      <c r="I50" s="112" t="e">
        <f>I22-I48</f>
        <v>#REF!</v>
      </c>
      <c r="J50" s="112" t="e">
        <f>I50/$I$22*100</f>
        <v>#REF!</v>
      </c>
      <c r="K50" s="112">
        <f>K22-K48</f>
        <v>4172.565329999998</v>
      </c>
      <c r="L50" s="112">
        <f>K50/$K$22*100</f>
        <v>20.14463225543701</v>
      </c>
      <c r="M50" s="112">
        <f>M22-M48</f>
        <v>668.7100000000003</v>
      </c>
      <c r="N50" s="112">
        <f>M50/$M$22*100</f>
        <v>31.852282307886508</v>
      </c>
      <c r="O50" s="159">
        <f>M50-K50</f>
        <v>-3503.8553299999976</v>
      </c>
      <c r="P50" s="112">
        <f>P22-P48</f>
        <v>1014.5552400000004</v>
      </c>
      <c r="Q50" s="112">
        <f>P50/$P$22*100</f>
        <v>38.155446294302635</v>
      </c>
      <c r="R50" s="112">
        <f>R22-R48</f>
        <v>1063.7299999999998</v>
      </c>
      <c r="S50" s="112">
        <f>+R50/$R$22*100</f>
        <v>38.605144062045206</v>
      </c>
    </row>
    <row r="51" spans="2:19" ht="12.75">
      <c r="B51" s="162"/>
      <c r="C51" s="108"/>
      <c r="D51" s="108"/>
      <c r="E51" s="108"/>
      <c r="F51" s="108"/>
      <c r="G51" s="108"/>
      <c r="H51" s="108"/>
      <c r="I51" s="108"/>
      <c r="J51" s="108"/>
      <c r="K51" s="108"/>
      <c r="L51" s="108"/>
      <c r="M51" s="108"/>
      <c r="N51" s="108"/>
      <c r="O51" s="105"/>
      <c r="P51" s="108"/>
      <c r="Q51" s="108"/>
      <c r="R51" s="108"/>
      <c r="S51" s="108"/>
    </row>
    <row r="52" spans="2:19" ht="12.75">
      <c r="B52" s="162" t="s">
        <v>122</v>
      </c>
      <c r="C52" s="108"/>
      <c r="D52" s="108"/>
      <c r="E52" s="108"/>
      <c r="F52" s="108"/>
      <c r="G52" s="108"/>
      <c r="H52" s="108"/>
      <c r="I52" s="108"/>
      <c r="J52" s="108"/>
      <c r="K52" s="108"/>
      <c r="L52" s="108"/>
      <c r="M52" s="108"/>
      <c r="N52" s="108"/>
      <c r="O52" s="105"/>
      <c r="P52" s="108"/>
      <c r="Q52" s="108"/>
      <c r="R52" s="108"/>
      <c r="S52" s="108"/>
    </row>
    <row r="53" spans="2:19" ht="12.75">
      <c r="B53" s="162"/>
      <c r="C53" s="108"/>
      <c r="D53" s="108"/>
      <c r="E53" s="108"/>
      <c r="F53" s="108"/>
      <c r="G53" s="108"/>
      <c r="H53" s="108"/>
      <c r="I53" s="108"/>
      <c r="J53" s="108"/>
      <c r="K53" s="108"/>
      <c r="L53" s="108"/>
      <c r="M53" s="108"/>
      <c r="N53" s="108"/>
      <c r="O53" s="105"/>
      <c r="P53" s="108"/>
      <c r="Q53" s="108"/>
      <c r="R53" s="108"/>
      <c r="S53" s="108"/>
    </row>
    <row r="54" spans="2:19" ht="12.75">
      <c r="B54" s="162" t="s">
        <v>123</v>
      </c>
      <c r="C54" s="162">
        <f>2304.38+329.88+284.99</f>
        <v>2919.25</v>
      </c>
      <c r="D54" s="108">
        <f>C54/$C$22*100</f>
        <v>8.38656965241091</v>
      </c>
      <c r="E54" s="108">
        <f>117.95+101.61+4.78</f>
        <v>224.34</v>
      </c>
      <c r="F54" s="108">
        <f>E54/$E$22*100</f>
        <v>9.87034014263904</v>
      </c>
      <c r="G54" s="108">
        <f>114.05+89.21+4.8</f>
        <v>208.06</v>
      </c>
      <c r="H54" s="108">
        <f>G54/$G$22*100</f>
        <v>8.014854021487483</v>
      </c>
      <c r="I54" s="108">
        <f>114.18+90.86+14.85</f>
        <v>219.89000000000001</v>
      </c>
      <c r="J54" s="108" t="e">
        <f>I54/$I$22*100</f>
        <v>#REF!</v>
      </c>
      <c r="K54" s="108">
        <f>2042.09732</f>
        <v>2042.09732</v>
      </c>
      <c r="L54" s="108">
        <f>K54/$K$22*100</f>
        <v>9.858994716138692</v>
      </c>
      <c r="M54" s="108">
        <f>45+48+45+45+45+48</f>
        <v>276</v>
      </c>
      <c r="N54" s="108">
        <f>M54/$M$22*100</f>
        <v>13.146550697576936</v>
      </c>
      <c r="O54" s="161">
        <f>M54-K54</f>
        <v>-1766.09732</v>
      </c>
      <c r="P54" s="108">
        <v>463.62</v>
      </c>
      <c r="Q54" s="108">
        <f>P54/$P$22*100</f>
        <v>17.4358451009179</v>
      </c>
      <c r="R54" s="108">
        <v>574.48</v>
      </c>
      <c r="S54" s="108">
        <f>+R54/$R$22*100</f>
        <v>20.8491658228721</v>
      </c>
    </row>
    <row r="55" spans="2:19" ht="10.5" customHeight="1">
      <c r="B55" s="162"/>
      <c r="C55" s="108"/>
      <c r="D55" s="108"/>
      <c r="E55" s="108"/>
      <c r="F55" s="108"/>
      <c r="G55" s="108"/>
      <c r="H55" s="108"/>
      <c r="I55" s="108"/>
      <c r="J55" s="108"/>
      <c r="K55" s="108"/>
      <c r="L55" s="108"/>
      <c r="M55" s="108"/>
      <c r="N55" s="108"/>
      <c r="O55" s="105"/>
      <c r="P55" s="108"/>
      <c r="Q55" s="108"/>
      <c r="R55" s="108"/>
      <c r="S55" s="108"/>
    </row>
    <row r="56" spans="2:21" ht="14.25" customHeight="1">
      <c r="B56" s="90" t="s">
        <v>166</v>
      </c>
      <c r="C56" s="108">
        <v>0</v>
      </c>
      <c r="D56" s="108">
        <f>C56/$C$22*100</f>
        <v>0</v>
      </c>
      <c r="E56" s="108">
        <v>0</v>
      </c>
      <c r="F56" s="108">
        <f>E56/$E$22*100</f>
        <v>0</v>
      </c>
      <c r="G56" s="108">
        <v>0</v>
      </c>
      <c r="H56" s="108">
        <f>G56/$G$22*100</f>
        <v>0</v>
      </c>
      <c r="I56" s="108">
        <v>0</v>
      </c>
      <c r="J56" s="108">
        <f>I56/$G$22*100</f>
        <v>0</v>
      </c>
      <c r="K56" s="108">
        <v>0</v>
      </c>
      <c r="L56" s="108">
        <f>K56/$G$22*100</f>
        <v>0</v>
      </c>
      <c r="M56" s="108"/>
      <c r="N56" s="108">
        <f>M56/$G$22*100</f>
        <v>0</v>
      </c>
      <c r="O56" s="105"/>
      <c r="P56" s="108">
        <v>44.7</v>
      </c>
      <c r="Q56" s="108">
        <f>P56/$P$22*100</f>
        <v>1.6810799275506452</v>
      </c>
      <c r="R56" s="108">
        <v>0</v>
      </c>
      <c r="S56" s="108">
        <f>+R56/$R$22*100</f>
        <v>0</v>
      </c>
      <c r="U56" s="84">
        <v>589.81</v>
      </c>
    </row>
    <row r="57" spans="2:21" ht="13.5" customHeight="1">
      <c r="B57" s="162"/>
      <c r="C57" s="108"/>
      <c r="D57" s="108"/>
      <c r="E57" s="108"/>
      <c r="F57" s="108"/>
      <c r="G57" s="108"/>
      <c r="H57" s="108"/>
      <c r="I57" s="108"/>
      <c r="J57" s="108"/>
      <c r="K57" s="108"/>
      <c r="L57" s="108"/>
      <c r="M57" s="108"/>
      <c r="N57" s="108"/>
      <c r="O57" s="105"/>
      <c r="P57" s="108"/>
      <c r="Q57" s="108"/>
      <c r="R57" s="108"/>
      <c r="S57" s="108"/>
      <c r="U57" s="132">
        <f>+U56+P56+P58</f>
        <v>737.13</v>
      </c>
    </row>
    <row r="58" spans="2:19" ht="12.75">
      <c r="B58" s="162" t="s">
        <v>125</v>
      </c>
      <c r="C58" s="162">
        <f>143.93+542.12</f>
        <v>686.05</v>
      </c>
      <c r="D58" s="108">
        <f>C58/$C$22*100</f>
        <v>1.970919280649655</v>
      </c>
      <c r="E58" s="108">
        <f>23.43+10.13+59.86+0.6-4.78</f>
        <v>89.24</v>
      </c>
      <c r="F58" s="108">
        <f>E58/$E$22*100</f>
        <v>3.9263134275167513</v>
      </c>
      <c r="G58" s="108">
        <f>27.74+10+56.1+0.6-4.8</f>
        <v>89.64</v>
      </c>
      <c r="H58" s="108">
        <f>G58/$G$22*100</f>
        <v>3.4530977337601554</v>
      </c>
      <c r="I58" s="108">
        <f>28.31+10+60.1+0.6-14.85</f>
        <v>84.16</v>
      </c>
      <c r="J58" s="108" t="e">
        <f>I58/$I$22*100</f>
        <v>#REF!</v>
      </c>
      <c r="K58" s="108">
        <f>1202.07885-491.53824+2.13114-1.15349+10.62903-73.01056</f>
        <v>649.1367300000002</v>
      </c>
      <c r="L58" s="108">
        <f>K58/$K$22*100</f>
        <v>3.133952299159547</v>
      </c>
      <c r="M58" s="108">
        <f>8.25+8.25+8.25+8.25+8.25+8.25</f>
        <v>49.5</v>
      </c>
      <c r="N58" s="108">
        <f>M58/$M$22*100</f>
        <v>2.3578052881523854</v>
      </c>
      <c r="O58" s="161">
        <f>M58-K58</f>
        <v>-599.6367300000002</v>
      </c>
      <c r="P58" s="108">
        <f>147.32-44.7</f>
        <v>102.61999999999999</v>
      </c>
      <c r="Q58" s="108">
        <f>P58/$P$22*100</f>
        <v>3.8593383034730913</v>
      </c>
      <c r="R58" s="108">
        <f>235.45</f>
        <v>235.45</v>
      </c>
      <c r="S58" s="108">
        <f>+R58/$R$22*100</f>
        <v>8.54500782097764</v>
      </c>
    </row>
    <row r="59" spans="2:19" ht="12.75">
      <c r="B59" s="162"/>
      <c r="C59" s="108"/>
      <c r="D59" s="108"/>
      <c r="E59" s="108"/>
      <c r="F59" s="108"/>
      <c r="G59" s="108"/>
      <c r="H59" s="108"/>
      <c r="I59" s="108"/>
      <c r="J59" s="108"/>
      <c r="K59" s="108"/>
      <c r="L59" s="108"/>
      <c r="M59" s="108"/>
      <c r="N59" s="108"/>
      <c r="O59" s="105"/>
      <c r="P59" s="108"/>
      <c r="Q59" s="108"/>
      <c r="R59" s="108"/>
      <c r="S59" s="108"/>
    </row>
    <row r="60" spans="2:19" ht="12.75">
      <c r="B60" s="165" t="s">
        <v>126</v>
      </c>
      <c r="C60" s="114">
        <f>SUM(C52:C59)</f>
        <v>3605.3</v>
      </c>
      <c r="D60" s="114">
        <f>C60/$C$22*100</f>
        <v>10.357488933060568</v>
      </c>
      <c r="E60" s="114">
        <f>SUM(E52:E59)</f>
        <v>313.58</v>
      </c>
      <c r="F60" s="114">
        <f>E60/$E$22*100</f>
        <v>13.796653570155792</v>
      </c>
      <c r="G60" s="114">
        <f>SUM(G52:G59)</f>
        <v>297.7</v>
      </c>
      <c r="H60" s="114">
        <f>G60/$G$22*100</f>
        <v>11.467951755247638</v>
      </c>
      <c r="I60" s="114">
        <f>SUM(I52:I59)</f>
        <v>304.05</v>
      </c>
      <c r="J60" s="114" t="e">
        <f>I60/$I$22*100</f>
        <v>#REF!</v>
      </c>
      <c r="K60" s="114">
        <f>SUM(K52:K59)</f>
        <v>2691.23405</v>
      </c>
      <c r="L60" s="114">
        <f>K60/$K$22*100</f>
        <v>12.992947015298236</v>
      </c>
      <c r="M60" s="114">
        <f>SUM(M52:M59)</f>
        <v>325.5</v>
      </c>
      <c r="N60" s="114">
        <f>M60/$M$22*100</f>
        <v>15.50435598572932</v>
      </c>
      <c r="O60" s="164">
        <f>M60-K60</f>
        <v>-2365.73405</v>
      </c>
      <c r="P60" s="114">
        <f>SUM(P52:P59)</f>
        <v>610.9399999999999</v>
      </c>
      <c r="Q60" s="114">
        <f>P60/$P$22*100</f>
        <v>22.97626333194163</v>
      </c>
      <c r="R60" s="114">
        <f>SUM(R52:R59)</f>
        <v>809.9300000000001</v>
      </c>
      <c r="S60" s="114">
        <f>+R60/$R$22*100</f>
        <v>29.39417364384974</v>
      </c>
    </row>
    <row r="61" spans="2:19" ht="12.75">
      <c r="B61" s="163"/>
      <c r="C61" s="113"/>
      <c r="D61" s="113"/>
      <c r="E61" s="113"/>
      <c r="F61" s="113"/>
      <c r="G61" s="113"/>
      <c r="H61" s="113"/>
      <c r="I61" s="113"/>
      <c r="J61" s="113"/>
      <c r="K61" s="113"/>
      <c r="L61" s="113"/>
      <c r="M61" s="113"/>
      <c r="N61" s="113"/>
      <c r="O61" s="101"/>
      <c r="P61" s="113"/>
      <c r="Q61" s="113"/>
      <c r="R61" s="113"/>
      <c r="S61" s="113"/>
    </row>
    <row r="62" spans="2:19" ht="12.75">
      <c r="B62" s="165" t="s">
        <v>127</v>
      </c>
      <c r="C62" s="114">
        <f>C50-C60</f>
        <v>4275.319999999999</v>
      </c>
      <c r="D62" s="114">
        <f>C62/$C$22*100</f>
        <v>12.282356415636004</v>
      </c>
      <c r="E62" s="114">
        <f>E50-E60</f>
        <v>144.48000000000064</v>
      </c>
      <c r="F62" s="114">
        <f>E62/$E$22*100</f>
        <v>6.356720797933916</v>
      </c>
      <c r="G62" s="114">
        <f>G50-G60</f>
        <v>224.87000000000018</v>
      </c>
      <c r="H62" s="114">
        <f>G62/$G$22*100</f>
        <v>8.662406151167412</v>
      </c>
      <c r="I62" s="114" t="e">
        <f>I50-I60</f>
        <v>#REF!</v>
      </c>
      <c r="J62" s="114" t="e">
        <f>I62/$I$22*100</f>
        <v>#REF!</v>
      </c>
      <c r="K62" s="114">
        <f>K50-K60</f>
        <v>1481.3312799999976</v>
      </c>
      <c r="L62" s="114">
        <f>K62/$K$22*100</f>
        <v>7.151685240138771</v>
      </c>
      <c r="M62" s="114">
        <f>M50-M60</f>
        <v>343.21000000000026</v>
      </c>
      <c r="N62" s="114">
        <f>M62/$M$22*100</f>
        <v>16.34792632215719</v>
      </c>
      <c r="O62" s="164">
        <f>M62-K62</f>
        <v>-1138.1212799999973</v>
      </c>
      <c r="P62" s="114">
        <f>P50-P60</f>
        <v>403.6152400000004</v>
      </c>
      <c r="Q62" s="114">
        <f>P62/$P$22*100</f>
        <v>15.179182962361004</v>
      </c>
      <c r="R62" s="114">
        <f>R50-R60</f>
        <v>253.79999999999973</v>
      </c>
      <c r="S62" s="108">
        <f>+R62/$R$22*100</f>
        <v>9.210970418195467</v>
      </c>
    </row>
    <row r="63" spans="2:19" ht="12.75">
      <c r="B63" s="163" t="s">
        <v>128</v>
      </c>
      <c r="C63" s="113"/>
      <c r="D63" s="113"/>
      <c r="E63" s="113"/>
      <c r="F63" s="113"/>
      <c r="G63" s="113"/>
      <c r="H63" s="113"/>
      <c r="I63" s="113"/>
      <c r="J63" s="113"/>
      <c r="K63" s="113"/>
      <c r="L63" s="113"/>
      <c r="M63" s="113"/>
      <c r="N63" s="113"/>
      <c r="O63" s="101"/>
      <c r="P63" s="113"/>
      <c r="Q63" s="113"/>
      <c r="R63" s="113"/>
      <c r="S63" s="113"/>
    </row>
    <row r="64" spans="2:19" ht="12.75">
      <c r="B64" s="162"/>
      <c r="C64" s="108"/>
      <c r="D64" s="108"/>
      <c r="E64" s="108"/>
      <c r="F64" s="108"/>
      <c r="G64" s="108"/>
      <c r="H64" s="108"/>
      <c r="I64" s="108"/>
      <c r="J64" s="108"/>
      <c r="K64" s="108"/>
      <c r="L64" s="108"/>
      <c r="M64" s="108"/>
      <c r="N64" s="108"/>
      <c r="O64" s="105"/>
      <c r="P64" s="108"/>
      <c r="Q64" s="108"/>
      <c r="R64" s="108"/>
      <c r="S64" s="108"/>
    </row>
    <row r="65" spans="2:19" ht="12.75">
      <c r="B65" s="162" t="s">
        <v>128</v>
      </c>
      <c r="C65" s="162">
        <v>1517.53</v>
      </c>
      <c r="D65" s="108">
        <f>C65/$C$22*100</f>
        <v>4.359637250877153</v>
      </c>
      <c r="E65" s="108">
        <f>108.13+15</f>
        <v>123.13</v>
      </c>
      <c r="F65" s="108">
        <f>E65/$E$22*100</f>
        <v>5.417379788549278</v>
      </c>
      <c r="G65" s="108">
        <f>126.55+15</f>
        <v>141.55</v>
      </c>
      <c r="H65" s="108">
        <f>G65/$G$22*100</f>
        <v>5.452766445936525</v>
      </c>
      <c r="I65" s="108">
        <f>132.75+15</f>
        <v>147.75</v>
      </c>
      <c r="J65" s="108" t="e">
        <f>I65/$I$22*100</f>
        <v>#REF!</v>
      </c>
      <c r="K65" s="108">
        <f>1163.66464-135</f>
        <v>1028.66464</v>
      </c>
      <c r="L65" s="108">
        <f>K65/$K$22*100</f>
        <v>4.966266372867435</v>
      </c>
      <c r="M65" s="108">
        <f>16.5+16.6+6+6+6+10</f>
        <v>61.1</v>
      </c>
      <c r="N65" s="108">
        <f>M65/$M$22*100</f>
        <v>2.9103414768911264</v>
      </c>
      <c r="O65" s="161">
        <f>M65-K65</f>
        <v>-967.5646399999999</v>
      </c>
      <c r="P65" s="108">
        <v>51.54</v>
      </c>
      <c r="Q65" s="108">
        <f>P65/$P$22*100</f>
        <v>1.938319003712757</v>
      </c>
      <c r="R65" s="108">
        <v>90.95</v>
      </c>
      <c r="S65" s="108">
        <f>+R65/$R$22*100</f>
        <v>3.3007791943848646</v>
      </c>
    </row>
    <row r="66" spans="2:19" ht="12.75">
      <c r="B66" s="162"/>
      <c r="C66" s="108"/>
      <c r="D66" s="108"/>
      <c r="E66" s="108"/>
      <c r="F66" s="108"/>
      <c r="G66" s="108"/>
      <c r="H66" s="108"/>
      <c r="I66" s="108"/>
      <c r="J66" s="108"/>
      <c r="K66" s="108"/>
      <c r="L66" s="108"/>
      <c r="M66" s="108"/>
      <c r="N66" s="108"/>
      <c r="O66" s="105"/>
      <c r="P66" s="108"/>
      <c r="Q66" s="108"/>
      <c r="R66" s="108"/>
      <c r="S66" s="108"/>
    </row>
    <row r="67" spans="2:19" ht="12.75">
      <c r="B67" s="160" t="s">
        <v>129</v>
      </c>
      <c r="C67" s="112">
        <f>C62-C65</f>
        <v>2757.789999999999</v>
      </c>
      <c r="D67" s="112">
        <f>C67/$C$22*100</f>
        <v>7.922719164758853</v>
      </c>
      <c r="E67" s="112">
        <f>E62-E65</f>
        <v>21.350000000000648</v>
      </c>
      <c r="F67" s="112">
        <f>E67/$E$22*100</f>
        <v>0.939341009384639</v>
      </c>
      <c r="G67" s="112">
        <f>G62-G65</f>
        <v>83.32000000000016</v>
      </c>
      <c r="H67" s="112">
        <f>G67/$G$22*100</f>
        <v>3.209639705230887</v>
      </c>
      <c r="I67" s="112" t="e">
        <f>I62-I65</f>
        <v>#REF!</v>
      </c>
      <c r="J67" s="112" t="e">
        <f>I67/$I$22*100</f>
        <v>#REF!</v>
      </c>
      <c r="K67" s="112">
        <f>K62-K65</f>
        <v>452.66663999999764</v>
      </c>
      <c r="L67" s="112">
        <f>K67/$K$22*100</f>
        <v>2.1854188672713364</v>
      </c>
      <c r="M67" s="112">
        <f>M62-M65</f>
        <v>282.11000000000024</v>
      </c>
      <c r="N67" s="112">
        <f>M67/$M$22*100</f>
        <v>13.43758484526606</v>
      </c>
      <c r="O67" s="159">
        <f>M67-K67</f>
        <v>-170.5566399999974</v>
      </c>
      <c r="P67" s="112">
        <f>P62-P65</f>
        <v>352.0752400000004</v>
      </c>
      <c r="Q67" s="112">
        <f>P67/$P$22*100</f>
        <v>13.240863958648246</v>
      </c>
      <c r="R67" s="112">
        <f>R62-R65</f>
        <v>162.84999999999974</v>
      </c>
      <c r="S67" s="112">
        <f>+R67/$R$22*100</f>
        <v>5.910191223810603</v>
      </c>
    </row>
    <row r="68" spans="2:19" ht="12.75">
      <c r="B68" s="162"/>
      <c r="C68" s="108"/>
      <c r="D68" s="108"/>
      <c r="E68" s="108"/>
      <c r="F68" s="108"/>
      <c r="G68" s="108"/>
      <c r="H68" s="108"/>
      <c r="I68" s="108"/>
      <c r="J68" s="108"/>
      <c r="K68" s="108"/>
      <c r="L68" s="108"/>
      <c r="M68" s="108"/>
      <c r="N68" s="108"/>
      <c r="O68" s="105"/>
      <c r="P68" s="108"/>
      <c r="Q68" s="108"/>
      <c r="R68" s="108"/>
      <c r="S68" s="108"/>
    </row>
    <row r="69" spans="2:19" ht="12.75">
      <c r="B69" s="162" t="s">
        <v>77</v>
      </c>
      <c r="C69" s="162">
        <v>1785.08</v>
      </c>
      <c r="D69" s="108">
        <f>C69/$C$22*100</f>
        <v>5.128268478248066</v>
      </c>
      <c r="E69" s="108">
        <f>102.32+0.25</f>
        <v>102.57</v>
      </c>
      <c r="F69" s="108">
        <f>E69/$E$22*100</f>
        <v>4.512796596373747</v>
      </c>
      <c r="G69" s="108">
        <f>102.32+0.25</f>
        <v>102.57</v>
      </c>
      <c r="H69" s="108">
        <f>G69/$G$22*100</f>
        <v>3.951185124406282</v>
      </c>
      <c r="I69" s="108">
        <f>102.32+0.25</f>
        <v>102.57</v>
      </c>
      <c r="J69" s="108" t="e">
        <f>I69/$I$22*100</f>
        <v>#REF!</v>
      </c>
      <c r="K69" s="108">
        <f>936.55-15</f>
        <v>921.55</v>
      </c>
      <c r="L69" s="108">
        <f>K69/$K$22*100</f>
        <v>4.449130064309379</v>
      </c>
      <c r="M69" s="108">
        <f>17.5+17.7+17+17+17+17</f>
        <v>103.2</v>
      </c>
      <c r="N69" s="108">
        <f>M69/$M$22*100</f>
        <v>4.915666782572246</v>
      </c>
      <c r="O69" s="161">
        <f>M69-K69</f>
        <v>-818.3499999999999</v>
      </c>
      <c r="P69" s="108">
        <f>133.44/12*9</f>
        <v>100.08</v>
      </c>
      <c r="Q69" s="108">
        <f>P69/$P$22*100</f>
        <v>3.7638138512140618</v>
      </c>
      <c r="R69" s="108">
        <v>114.34</v>
      </c>
      <c r="S69" s="108">
        <f>+R69/$R$22*100</f>
        <v>4.149654679339917</v>
      </c>
    </row>
    <row r="70" spans="2:19" ht="12.75">
      <c r="B70" s="105"/>
      <c r="C70" s="108"/>
      <c r="D70" s="108"/>
      <c r="E70" s="108"/>
      <c r="F70" s="108"/>
      <c r="G70" s="108"/>
      <c r="H70" s="108"/>
      <c r="I70" s="108"/>
      <c r="J70" s="108"/>
      <c r="K70" s="108"/>
      <c r="L70" s="108"/>
      <c r="M70" s="108"/>
      <c r="N70" s="108"/>
      <c r="O70" s="105"/>
      <c r="P70" s="108"/>
      <c r="Q70" s="108"/>
      <c r="R70" s="108"/>
      <c r="S70" s="108"/>
    </row>
    <row r="71" spans="2:19" ht="12.75">
      <c r="B71" s="160" t="s">
        <v>130</v>
      </c>
      <c r="C71" s="112">
        <f>C67-C69</f>
        <v>972.7099999999991</v>
      </c>
      <c r="D71" s="112">
        <f>C71/$C$22*100</f>
        <v>2.7944506865107854</v>
      </c>
      <c r="E71" s="112">
        <f>E67-E69</f>
        <v>-81.21999999999935</v>
      </c>
      <c r="F71" s="112">
        <f>E71/$E$22*100</f>
        <v>-3.5734555869891076</v>
      </c>
      <c r="G71" s="112">
        <f>G67-G69</f>
        <v>-19.24999999999983</v>
      </c>
      <c r="H71" s="112">
        <f>G71/$G$22*100</f>
        <v>-0.741545419175395</v>
      </c>
      <c r="I71" s="112" t="e">
        <f>I67-I69</f>
        <v>#REF!</v>
      </c>
      <c r="J71" s="112" t="e">
        <f>I71/$I$22*100</f>
        <v>#REF!</v>
      </c>
      <c r="K71" s="112">
        <f>K67-K69</f>
        <v>-468.8833600000023</v>
      </c>
      <c r="L71" s="112">
        <f>K71/$K$22*100</f>
        <v>-2.263711197038042</v>
      </c>
      <c r="M71" s="112">
        <f>M67-M69</f>
        <v>178.91000000000025</v>
      </c>
      <c r="N71" s="112">
        <f>M71/$M$22*100</f>
        <v>8.521918062693814</v>
      </c>
      <c r="O71" s="159">
        <f>M71-K71</f>
        <v>647.7933600000026</v>
      </c>
      <c r="P71" s="112">
        <f>P67-P69</f>
        <v>251.99524000000042</v>
      </c>
      <c r="Q71" s="112">
        <f>P71/$P$22*100</f>
        <v>9.477050107434186</v>
      </c>
      <c r="R71" s="112">
        <f>R67-R69</f>
        <v>48.509999999999735</v>
      </c>
      <c r="S71" s="112">
        <f>+R71/$R$22*100</f>
        <v>1.7605365444706862</v>
      </c>
    </row>
    <row r="72" spans="2:19" ht="12">
      <c r="B72" s="158"/>
      <c r="C72" s="156"/>
      <c r="D72" s="156"/>
      <c r="E72" s="156"/>
      <c r="F72" s="156"/>
      <c r="G72" s="156"/>
      <c r="H72" s="156"/>
      <c r="I72" s="156"/>
      <c r="J72" s="156"/>
      <c r="K72" s="156"/>
      <c r="L72" s="156"/>
      <c r="M72" s="156"/>
      <c r="N72" s="156"/>
      <c r="O72" s="156"/>
      <c r="P72" s="157"/>
      <c r="Q72" s="155"/>
      <c r="R72" s="156"/>
      <c r="S72" s="155"/>
    </row>
    <row r="73" spans="2:19" ht="12">
      <c r="B73" s="154" t="s">
        <v>170</v>
      </c>
      <c r="C73" s="153"/>
      <c r="D73" s="153"/>
      <c r="E73" s="153"/>
      <c r="F73" s="153"/>
      <c r="G73" s="153"/>
      <c r="H73" s="153"/>
      <c r="I73" s="153"/>
      <c r="J73" s="153"/>
      <c r="K73" s="153"/>
      <c r="L73" s="153"/>
      <c r="M73" s="153"/>
      <c r="N73" s="153"/>
      <c r="O73" s="153"/>
      <c r="P73" s="287">
        <f>17.96*100000</f>
        <v>1796000</v>
      </c>
      <c r="Q73" s="288"/>
      <c r="R73" s="287">
        <f>13.78*100000</f>
        <v>1378000</v>
      </c>
      <c r="S73" s="288"/>
    </row>
    <row r="74" spans="2:19" ht="12">
      <c r="B74" s="152"/>
      <c r="C74" s="150"/>
      <c r="D74" s="150"/>
      <c r="E74" s="150"/>
      <c r="F74" s="150"/>
      <c r="G74" s="150"/>
      <c r="H74" s="150"/>
      <c r="I74" s="150"/>
      <c r="J74" s="150"/>
      <c r="K74" s="150"/>
      <c r="L74" s="150"/>
      <c r="M74" s="150"/>
      <c r="N74" s="150"/>
      <c r="O74" s="150"/>
      <c r="P74" s="151"/>
      <c r="Q74" s="149"/>
      <c r="R74" s="150"/>
      <c r="S74" s="149"/>
    </row>
    <row r="75" ht="12">
      <c r="P75" s="148"/>
    </row>
  </sheetData>
  <sheetProtection/>
  <mergeCells count="6">
    <mergeCell ref="R73:S73"/>
    <mergeCell ref="P73:Q73"/>
    <mergeCell ref="R5:S5"/>
    <mergeCell ref="M5:N5"/>
    <mergeCell ref="P5:Q5"/>
    <mergeCell ref="M6:N6"/>
  </mergeCells>
  <printOptions horizontalCentered="1"/>
  <pageMargins left="0.5" right="0.25" top="0.5" bottom="0.25" header="0.5" footer="0.5"/>
  <pageSetup horizontalDpi="180" verticalDpi="180" orientation="portrait"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B1:G90"/>
  <sheetViews>
    <sheetView workbookViewId="0" topLeftCell="A1">
      <selection activeCell="E18" sqref="E18"/>
    </sheetView>
  </sheetViews>
  <sheetFormatPr defaultColWidth="9.140625" defaultRowHeight="12.75"/>
  <cols>
    <col min="1" max="1" width="9.140625" style="218" customWidth="1"/>
    <col min="2" max="2" width="38.00390625" style="218" customWidth="1"/>
    <col min="3" max="3" width="12.8515625" style="218" bestFit="1" customWidth="1"/>
    <col min="4" max="4" width="8.28125" style="218" bestFit="1" customWidth="1"/>
    <col min="5" max="5" width="12.8515625" style="218" bestFit="1" customWidth="1"/>
    <col min="6" max="6" width="8.28125" style="218" bestFit="1" customWidth="1"/>
    <col min="7" max="7" width="10.28125" style="218" hidden="1" customWidth="1"/>
    <col min="8" max="16384" width="10.28125" style="218" customWidth="1"/>
  </cols>
  <sheetData>
    <row r="1" ht="16.5">
      <c r="B1" s="239" t="s">
        <v>64</v>
      </c>
    </row>
    <row r="2" ht="15">
      <c r="B2" s="219"/>
    </row>
    <row r="3" ht="16.5">
      <c r="B3" s="239" t="s">
        <v>228</v>
      </c>
    </row>
    <row r="4" ht="17.25" thickBot="1">
      <c r="B4" s="239" t="s">
        <v>232</v>
      </c>
    </row>
    <row r="5" spans="3:7" ht="15.75" thickBot="1">
      <c r="C5" s="292" t="s">
        <v>70</v>
      </c>
      <c r="D5" s="293"/>
      <c r="E5" s="292" t="s">
        <v>70</v>
      </c>
      <c r="F5" s="293"/>
      <c r="G5" s="218" t="s">
        <v>220</v>
      </c>
    </row>
    <row r="6" spans="3:6" ht="15.75" thickBot="1">
      <c r="C6" s="268" t="s">
        <v>221</v>
      </c>
      <c r="D6" s="269"/>
      <c r="E6" s="268" t="s">
        <v>222</v>
      </c>
      <c r="F6" s="269"/>
    </row>
    <row r="7" spans="2:6" ht="15">
      <c r="B7" s="224" t="s">
        <v>12</v>
      </c>
      <c r="C7" s="225" t="s">
        <v>99</v>
      </c>
      <c r="D7" s="225" t="s">
        <v>100</v>
      </c>
      <c r="E7" s="225" t="s">
        <v>99</v>
      </c>
      <c r="F7" s="225" t="s">
        <v>100</v>
      </c>
    </row>
    <row r="8" spans="2:6" ht="15.75" thickBot="1">
      <c r="B8" s="233"/>
      <c r="C8" s="234" t="s">
        <v>101</v>
      </c>
      <c r="D8" s="233"/>
      <c r="E8" s="234" t="s">
        <v>101</v>
      </c>
      <c r="F8" s="233"/>
    </row>
    <row r="9" spans="2:6" ht="15">
      <c r="B9" s="226"/>
      <c r="C9" s="227"/>
      <c r="D9" s="226"/>
      <c r="E9" s="227"/>
      <c r="F9" s="226"/>
    </row>
    <row r="10" spans="2:7" ht="15">
      <c r="B10" s="228" t="s">
        <v>102</v>
      </c>
      <c r="C10" s="229">
        <f>+'GMD 08-09 vs 07-08'!C10+'FCKD 08-09 vs 07-089 '!C10-'Stock Exchange Format Mar,09'!T29</f>
        <v>27033.079999999998</v>
      </c>
      <c r="D10" s="229">
        <f>C10/$C$22*100</f>
        <v>94.8427291666228</v>
      </c>
      <c r="E10" s="229">
        <f>+'GMD 08-09 vs 07-08'!E10+'FCKD 08-09 vs 07-089 '!E10-1309.68</f>
        <v>32558.97</v>
      </c>
      <c r="F10" s="229">
        <f>E10/$E$22*100</f>
        <v>94.79948953402072</v>
      </c>
      <c r="G10" s="221">
        <f>E10-C10</f>
        <v>5525.890000000003</v>
      </c>
    </row>
    <row r="11" spans="2:6" ht="15">
      <c r="B11" s="228"/>
      <c r="C11" s="229"/>
      <c r="D11" s="229"/>
      <c r="E11" s="229"/>
      <c r="F11" s="229"/>
    </row>
    <row r="12" spans="2:7" ht="15">
      <c r="B12" s="228" t="s">
        <v>103</v>
      </c>
      <c r="C12" s="229">
        <f>+'GMD 08-09 vs 07-08'!C12+'FCKD 08-09 vs 07-089 '!C12-'Stock Exchange Format Mar,09'!T30</f>
        <v>424.01</v>
      </c>
      <c r="D12" s="229">
        <f>C12/$C$22*100</f>
        <v>1.4875946652745355</v>
      </c>
      <c r="E12" s="229">
        <f>+'GMD 08-09 vs 07-08'!E12+'FCKD 08-09 vs 07-089 '!E12</f>
        <v>176.62</v>
      </c>
      <c r="F12" s="229">
        <f>E12/$E$22*100</f>
        <v>0.5142510909128495</v>
      </c>
      <c r="G12" s="221">
        <f>E12-C12</f>
        <v>-247.39</v>
      </c>
    </row>
    <row r="13" spans="2:6" ht="15">
      <c r="B13" s="228"/>
      <c r="C13" s="229"/>
      <c r="D13" s="229"/>
      <c r="E13" s="229"/>
      <c r="F13" s="229"/>
    </row>
    <row r="14" spans="2:7" ht="15">
      <c r="B14" s="228" t="s">
        <v>104</v>
      </c>
      <c r="C14" s="229">
        <f>+'GMD 08-09 vs 07-08'!C14+'FCKD 08-09 vs 07-089 '!C14-'Stock Exchange Format Mar,09'!T31</f>
        <v>93.25</v>
      </c>
      <c r="D14" s="229">
        <f>C14/$C$22*100</f>
        <v>0.32715785603370307</v>
      </c>
      <c r="E14" s="229">
        <f>+'GMD 08-09 vs 07-08'!E14+'FCKD 08-09 vs 07-089 '!E14+36.62</f>
        <v>95.75999999999999</v>
      </c>
      <c r="F14" s="229">
        <f>E14/$E$22*100</f>
        <v>0.27881714678866754</v>
      </c>
      <c r="G14" s="221">
        <f>E14-C14</f>
        <v>2.509999999999991</v>
      </c>
    </row>
    <row r="15" spans="2:6" ht="15">
      <c r="B15" s="228"/>
      <c r="C15" s="229"/>
      <c r="D15" s="229"/>
      <c r="E15" s="229"/>
      <c r="F15" s="229"/>
    </row>
    <row r="16" spans="2:7" ht="15">
      <c r="B16" s="228" t="s">
        <v>105</v>
      </c>
      <c r="C16" s="229">
        <f>+'GMD 08-09 vs 07-08'!C16+'FCKD 08-09 vs 07-089 '!C16</f>
        <v>710.37</v>
      </c>
      <c r="D16" s="229">
        <f>C16/$C$22*100</f>
        <v>2.4922587259052187</v>
      </c>
      <c r="E16" s="229">
        <f>+'GMD 08-09 vs 07-08'!E16+'FCKD 08-09 vs 07-089 '!E16-36.62-0.78</f>
        <v>1345.01</v>
      </c>
      <c r="F16" s="229">
        <f>E16/$E$22*100</f>
        <v>3.916163853406702</v>
      </c>
      <c r="G16" s="221">
        <f>E16-C16</f>
        <v>634.64</v>
      </c>
    </row>
    <row r="17" spans="2:6" ht="15">
      <c r="B17" s="228"/>
      <c r="C17" s="229"/>
      <c r="D17" s="229"/>
      <c r="E17" s="229"/>
      <c r="F17" s="229"/>
    </row>
    <row r="18" spans="2:7" ht="15">
      <c r="B18" s="230" t="s">
        <v>106</v>
      </c>
      <c r="C18" s="229">
        <f>+'GMD 08-09 vs 07-08'!C18+'FCKD 08-09 vs 07-089 '!C18</f>
        <v>33.49</v>
      </c>
      <c r="D18" s="229">
        <f>C18/$C$22*100</f>
        <v>0.11749615655301572</v>
      </c>
      <c r="E18" s="229">
        <f>+'GMD 08-09 vs 07-08'!E18+'FCKD 08-09 vs 07-089 '!E18</f>
        <v>72.97</v>
      </c>
      <c r="F18" s="229">
        <f>E18/$E$22*100</f>
        <v>0.21246122808238377</v>
      </c>
      <c r="G18" s="221">
        <f>E18-C18</f>
        <v>39.48</v>
      </c>
    </row>
    <row r="19" spans="2:6" ht="15">
      <c r="B19" s="228"/>
      <c r="C19" s="229"/>
      <c r="D19" s="229"/>
      <c r="E19" s="229"/>
      <c r="F19" s="229"/>
    </row>
    <row r="20" spans="2:7" ht="15">
      <c r="B20" s="228" t="s">
        <v>107</v>
      </c>
      <c r="C20" s="229">
        <f>+'GMD 08-09 vs 07-08'!C20+'FCKD 08-09 vs 07-089 '!C20</f>
        <v>208.86</v>
      </c>
      <c r="D20" s="229">
        <f>C20/$C$22*100</f>
        <v>0.7327634296107156</v>
      </c>
      <c r="E20" s="229">
        <f>+'GMD 08-09 vs 07-08'!E20+'FCKD 08-09 vs 07-089 '!E20</f>
        <v>95.76</v>
      </c>
      <c r="F20" s="229">
        <f>E20/$E$22*100</f>
        <v>0.2788171467886676</v>
      </c>
      <c r="G20" s="221">
        <f>E20-C20</f>
        <v>-113.10000000000001</v>
      </c>
    </row>
    <row r="21" spans="2:6" ht="15.75" thickBot="1">
      <c r="B21" s="226"/>
      <c r="C21" s="229"/>
      <c r="D21" s="229"/>
      <c r="E21" s="229"/>
      <c r="F21" s="229"/>
    </row>
    <row r="22" spans="2:7" ht="15.75" thickBot="1">
      <c r="B22" s="235" t="s">
        <v>71</v>
      </c>
      <c r="C22" s="236">
        <f>SUM(C10:C20)</f>
        <v>28503.059999999998</v>
      </c>
      <c r="D22" s="236">
        <f>C22/$C$22*100</f>
        <v>100</v>
      </c>
      <c r="E22" s="236">
        <f>SUM(E10:E20)</f>
        <v>34345.090000000004</v>
      </c>
      <c r="F22" s="236">
        <f>E22/$E$22*100</f>
        <v>100</v>
      </c>
      <c r="G22" s="221">
        <f>E22-C22</f>
        <v>5842.030000000006</v>
      </c>
    </row>
    <row r="23" spans="2:6" ht="15">
      <c r="B23" s="226"/>
      <c r="C23" s="229"/>
      <c r="D23" s="229"/>
      <c r="E23" s="229"/>
      <c r="F23" s="229"/>
    </row>
    <row r="24" spans="2:6" ht="15">
      <c r="B24" s="228" t="s">
        <v>108</v>
      </c>
      <c r="C24" s="229"/>
      <c r="D24" s="229"/>
      <c r="E24" s="229"/>
      <c r="F24" s="229"/>
    </row>
    <row r="25" spans="2:6" ht="15">
      <c r="B25" s="228"/>
      <c r="C25" s="229"/>
      <c r="D25" s="229"/>
      <c r="E25" s="229"/>
      <c r="F25" s="229"/>
    </row>
    <row r="26" spans="2:7" ht="15">
      <c r="B26" s="228" t="s">
        <v>109</v>
      </c>
      <c r="C26" s="231">
        <f>+'GMD 08-09 vs 07-08'!C26+'FCKD 08-09 vs 07-089 '!C26-'Stock Exchange Format Mar,09'!T29</f>
        <v>15569.32</v>
      </c>
      <c r="D26" s="231">
        <f>C26/$C$22*100</f>
        <v>54.62332816195875</v>
      </c>
      <c r="E26" s="231">
        <f>+'GMD 08-09 vs 07-08'!E26+'FCKD 08-09 vs 07-089 '!E26-1309.68</f>
        <v>17878.190000000002</v>
      </c>
      <c r="F26" s="229">
        <f>E26/$E$22*100</f>
        <v>52.05457315732759</v>
      </c>
      <c r="G26" s="221">
        <f>E26-C26</f>
        <v>2308.8700000000026</v>
      </c>
    </row>
    <row r="27" spans="2:6" ht="15">
      <c r="B27" s="228"/>
      <c r="C27" s="231"/>
      <c r="D27" s="231"/>
      <c r="E27" s="231"/>
      <c r="F27" s="229"/>
    </row>
    <row r="28" spans="2:7" ht="15">
      <c r="B28" s="228" t="s">
        <v>110</v>
      </c>
      <c r="C28" s="231">
        <f>+'GMD 08-09 vs 07-08'!C28+'FCKD 08-09 vs 07-089 '!C28</f>
        <v>36.46</v>
      </c>
      <c r="D28" s="231">
        <f>C28/$C$22*100</f>
        <v>0.12791609041274868</v>
      </c>
      <c r="E28" s="231">
        <f>+'GMD 08-09 vs 07-08'!E28+'FCKD 08-09 vs 07-089 '!E28</f>
        <v>215.94</v>
      </c>
      <c r="F28" s="229">
        <f>E28/$E$22*100</f>
        <v>0.6287361599576533</v>
      </c>
      <c r="G28" s="221">
        <f>E28-C28</f>
        <v>179.48</v>
      </c>
    </row>
    <row r="29" spans="2:6" ht="15">
      <c r="B29" s="228"/>
      <c r="C29" s="229"/>
      <c r="D29" s="229"/>
      <c r="E29" s="229"/>
      <c r="F29" s="229"/>
    </row>
    <row r="30" spans="2:7" ht="15">
      <c r="B30" s="228" t="s">
        <v>113</v>
      </c>
      <c r="C30" s="229">
        <f>+'GMD 08-09 vs 07-08'!C30+'FCKD 08-09 vs 07-089 '!C30</f>
        <v>1527.27</v>
      </c>
      <c r="D30" s="229">
        <f>C30/$C$22*100</f>
        <v>5.3582667966176265</v>
      </c>
      <c r="E30" s="231">
        <f>+'GMD 08-09 vs 07-08'!E30+'FCKD 08-09 vs 07-089 '!E30</f>
        <v>1498.53</v>
      </c>
      <c r="F30" s="229">
        <f>E30/$E$22*100</f>
        <v>4.3631564220679</v>
      </c>
      <c r="G30" s="221">
        <f>E30-C30</f>
        <v>-28.74000000000001</v>
      </c>
    </row>
    <row r="31" spans="2:7" ht="15">
      <c r="B31" s="228"/>
      <c r="C31" s="229"/>
      <c r="D31" s="229"/>
      <c r="E31" s="231"/>
      <c r="F31" s="229"/>
      <c r="G31" s="221"/>
    </row>
    <row r="32" spans="2:7" ht="15">
      <c r="B32" s="228" t="s">
        <v>111</v>
      </c>
      <c r="C32" s="229">
        <f>+'GMD 08-09 vs 07-08'!C32+'FCKD 08-09 vs 07-089 '!C32-'Stock Exchange Format Mar,09'!T30</f>
        <v>396.54</v>
      </c>
      <c r="D32" s="229">
        <f>C32/$C$22*100</f>
        <v>1.3912190480601032</v>
      </c>
      <c r="E32" s="231">
        <f>+'GMD 08-09 vs 07-08'!E32+'FCKD 08-09 vs 07-089 '!E32</f>
        <v>136.28000000000003</v>
      </c>
      <c r="F32" s="229">
        <f>E32/$E$22*100</f>
        <v>0.39679616504134946</v>
      </c>
      <c r="G32" s="221">
        <f>E32-C32</f>
        <v>-260.26</v>
      </c>
    </row>
    <row r="33" spans="2:6" ht="15">
      <c r="B33" s="228"/>
      <c r="C33" s="229"/>
      <c r="D33" s="229"/>
      <c r="E33" s="229"/>
      <c r="F33" s="229"/>
    </row>
    <row r="34" spans="2:7" ht="15">
      <c r="B34" s="228" t="s">
        <v>112</v>
      </c>
      <c r="C34" s="229">
        <f>+'GMD 08-09 vs 07-08'!C34+'FCKD 08-09 vs 07-089 '!C34</f>
        <v>-759.5799999999999</v>
      </c>
      <c r="D34" s="229">
        <f>C34/$C$22*100</f>
        <v>-2.6649068556148006</v>
      </c>
      <c r="E34" s="231">
        <f>+'GMD 08-09 vs 07-08'!E34+'FCKD 08-09 vs 07-089 '!E34</f>
        <v>-730.6</v>
      </c>
      <c r="F34" s="229">
        <f>E34/$E$22*100</f>
        <v>-2.1272327427297464</v>
      </c>
      <c r="G34" s="221">
        <f>E34-C34</f>
        <v>28.979999999999905</v>
      </c>
    </row>
    <row r="35" spans="2:6" ht="15">
      <c r="B35" s="228"/>
      <c r="C35" s="229"/>
      <c r="D35" s="229"/>
      <c r="E35" s="229"/>
      <c r="F35" s="229"/>
    </row>
    <row r="36" spans="2:7" ht="15">
      <c r="B36" s="228" t="s">
        <v>114</v>
      </c>
      <c r="C36" s="229">
        <f>+'GMD 08-09 vs 07-08'!C36+'FCKD 08-09 vs 07-089 '!C36</f>
        <v>655.94</v>
      </c>
      <c r="D36" s="229">
        <f>C36/$C$22*100</f>
        <v>2.3012967730482274</v>
      </c>
      <c r="E36" s="229">
        <f>+'GMD 08-09 vs 07-08'!E36+'FCKD 08-09 vs 07-089 '!E36</f>
        <v>927.09</v>
      </c>
      <c r="F36" s="229">
        <f>E36/$E$22*100</f>
        <v>2.699337809276377</v>
      </c>
      <c r="G36" s="221">
        <f>E36-C36</f>
        <v>271.15</v>
      </c>
    </row>
    <row r="37" spans="2:6" ht="15">
      <c r="B37" s="228"/>
      <c r="C37" s="229"/>
      <c r="D37" s="229"/>
      <c r="E37" s="229"/>
      <c r="F37" s="229"/>
    </row>
    <row r="38" spans="2:7" ht="15">
      <c r="B38" s="228" t="s">
        <v>115</v>
      </c>
      <c r="C38" s="229">
        <f>+'GMD 08-09 vs 07-08'!C38+'FCKD 08-09 vs 07-089 '!C38</f>
        <v>227.5</v>
      </c>
      <c r="D38" s="229">
        <f>C38/$C$22*100</f>
        <v>0.7981599168650665</v>
      </c>
      <c r="E38" s="229">
        <f>+'GMD 08-09 vs 07-08'!E38+'FCKD 08-09 vs 07-089 '!E38</f>
        <v>452.51</v>
      </c>
      <c r="F38" s="229">
        <f>E38/$E$22*100</f>
        <v>1.3175391300474097</v>
      </c>
      <c r="G38" s="221">
        <f>E38-C38</f>
        <v>225.01</v>
      </c>
    </row>
    <row r="39" spans="2:6" ht="15">
      <c r="B39" s="228"/>
      <c r="C39" s="229"/>
      <c r="D39" s="229"/>
      <c r="E39" s="229"/>
      <c r="F39" s="229"/>
    </row>
    <row r="40" spans="2:7" ht="15">
      <c r="B40" s="228" t="s">
        <v>116</v>
      </c>
      <c r="C40" s="229">
        <f>+'GMD 08-09 vs 07-08'!C40+'FCKD 08-09 vs 07-089 '!C40-'Stock Exchange Format Mar,09'!T31</f>
        <v>184.28</v>
      </c>
      <c r="D40" s="229">
        <f>C40/$C$22*100</f>
        <v>0.6465270746368987</v>
      </c>
      <c r="E40" s="229">
        <f>+'GMD 08-09 vs 07-08'!E40+'FCKD 08-09 vs 07-089 '!E40</f>
        <v>235.87</v>
      </c>
      <c r="F40" s="229">
        <f>E40/$E$22*100</f>
        <v>0.6867648330518278</v>
      </c>
      <c r="G40" s="221">
        <f>E40-C40</f>
        <v>51.59</v>
      </c>
    </row>
    <row r="41" spans="2:6" ht="15">
      <c r="B41" s="228"/>
      <c r="C41" s="229"/>
      <c r="D41" s="229"/>
      <c r="E41" s="229"/>
      <c r="F41" s="229"/>
    </row>
    <row r="42" spans="2:7" ht="15">
      <c r="B42" s="228" t="s">
        <v>117</v>
      </c>
      <c r="C42" s="231">
        <f>+'GMD 08-09 vs 07-08'!C42+'FCKD 08-09 vs 07-089 '!C42</f>
        <v>2961.01</v>
      </c>
      <c r="D42" s="231">
        <f>C42/$C$22*100</f>
        <v>10.38839338653464</v>
      </c>
      <c r="E42" s="231">
        <f>+'GMD 08-09 vs 07-08'!E42+'FCKD 08-09 vs 07-089 '!E42</f>
        <v>4053.52</v>
      </c>
      <c r="F42" s="229">
        <f>E42/$E$22*100</f>
        <v>11.802327494264826</v>
      </c>
      <c r="G42" s="221">
        <f>E42-C42</f>
        <v>1092.5099999999998</v>
      </c>
    </row>
    <row r="43" spans="2:6" ht="15">
      <c r="B43" s="228"/>
      <c r="C43" s="229"/>
      <c r="D43" s="229"/>
      <c r="E43" s="229"/>
      <c r="F43" s="229"/>
    </row>
    <row r="44" spans="2:7" ht="15">
      <c r="B44" s="228" t="s">
        <v>118</v>
      </c>
      <c r="C44" s="229">
        <f>+'GMD 08-09 vs 07-08'!C44+'FCKD 08-09 vs 07-089 '!C44</f>
        <v>607.7199999999999</v>
      </c>
      <c r="D44" s="229">
        <f>C44/$C$22*100</f>
        <v>2.1321219546252226</v>
      </c>
      <c r="E44" s="229">
        <f>+'GMD 08-09 vs 07-08'!E44+'FCKD 08-09 vs 07-089 '!E44</f>
        <v>828.5</v>
      </c>
      <c r="F44" s="229">
        <f>E44/$E$22*100</f>
        <v>2.412280765605797</v>
      </c>
      <c r="G44" s="221">
        <f>E44-C44</f>
        <v>220.7800000000001</v>
      </c>
    </row>
    <row r="45" spans="2:6" ht="15">
      <c r="B45" s="228"/>
      <c r="C45" s="229"/>
      <c r="D45" s="229"/>
      <c r="E45" s="229"/>
      <c r="F45" s="229"/>
    </row>
    <row r="46" spans="2:7" ht="15">
      <c r="B46" s="228" t="s">
        <v>119</v>
      </c>
      <c r="C46" s="229">
        <f>+'GMD 08-09 vs 07-08'!C46+'FCKD 08-09 vs 07-089 '!C46</f>
        <v>1334.6</v>
      </c>
      <c r="D46" s="229">
        <f>C46/$C$22*100</f>
        <v>4.682304285925792</v>
      </c>
      <c r="E46" s="229">
        <f>+'GMD 08-09 vs 07-08'!E46+'FCKD 08-09 vs 07-089 '!E46</f>
        <v>1532.92</v>
      </c>
      <c r="F46" s="229">
        <f>E46/$E$22*100</f>
        <v>4.463287183117004</v>
      </c>
      <c r="G46" s="221">
        <f>E46-C46</f>
        <v>198.32000000000016</v>
      </c>
    </row>
    <row r="47" spans="2:6" ht="15.75" thickBot="1">
      <c r="B47" s="228"/>
      <c r="C47" s="229"/>
      <c r="D47" s="229"/>
      <c r="E47" s="229"/>
      <c r="F47" s="229"/>
    </row>
    <row r="48" spans="2:7" ht="15.75" thickBot="1">
      <c r="B48" s="235" t="s">
        <v>120</v>
      </c>
      <c r="C48" s="236">
        <f>SUM(C26:C47)</f>
        <v>22741.059999999998</v>
      </c>
      <c r="D48" s="236">
        <f>C48/$C$22*100</f>
        <v>79.78462663307027</v>
      </c>
      <c r="E48" s="236">
        <f>SUM(E26:E47)</f>
        <v>27028.75</v>
      </c>
      <c r="F48" s="236">
        <f>E48/$E$22*100</f>
        <v>78.69756637702797</v>
      </c>
      <c r="G48" s="221">
        <f>E48-C48</f>
        <v>4287.690000000002</v>
      </c>
    </row>
    <row r="49" spans="2:6" ht="15.75" thickBot="1">
      <c r="B49" s="228"/>
      <c r="C49" s="229"/>
      <c r="D49" s="229"/>
      <c r="E49" s="229"/>
      <c r="F49" s="229"/>
    </row>
    <row r="50" spans="2:7" ht="15.75" thickBot="1">
      <c r="B50" s="235" t="s">
        <v>121</v>
      </c>
      <c r="C50" s="236">
        <f>C22-C48</f>
        <v>5762</v>
      </c>
      <c r="D50" s="236">
        <f>C50/$C$22*100</f>
        <v>20.21537336692973</v>
      </c>
      <c r="E50" s="236">
        <f>E22-E48</f>
        <v>7316.340000000004</v>
      </c>
      <c r="F50" s="236">
        <f>E50/$E$22*100</f>
        <v>21.302433622972025</v>
      </c>
      <c r="G50" s="221">
        <f>E50-C50</f>
        <v>1554.3400000000038</v>
      </c>
    </row>
    <row r="51" spans="2:6" ht="15">
      <c r="B51" s="228"/>
      <c r="C51" s="229"/>
      <c r="D51" s="229"/>
      <c r="E51" s="229"/>
      <c r="F51" s="229"/>
    </row>
    <row r="52" spans="2:6" ht="15">
      <c r="B52" s="228" t="s">
        <v>122</v>
      </c>
      <c r="C52" s="229"/>
      <c r="D52" s="229"/>
      <c r="E52" s="229"/>
      <c r="F52" s="229"/>
    </row>
    <row r="53" spans="2:6" ht="15">
      <c r="B53" s="228"/>
      <c r="C53" s="229"/>
      <c r="D53" s="229"/>
      <c r="E53" s="229"/>
      <c r="F53" s="229"/>
    </row>
    <row r="54" spans="2:7" ht="15">
      <c r="B54" s="228" t="s">
        <v>123</v>
      </c>
      <c r="C54" s="231">
        <f>+'GMD 08-09 vs 07-08'!C54+'FCKD 08-09 vs 07-089 '!C54</f>
        <v>3698.2999999999997</v>
      </c>
      <c r="D54" s="231">
        <f>C54/$C$22*100</f>
        <v>12.975098112272857</v>
      </c>
      <c r="E54" s="231">
        <f>+'GMD 08-09 vs 07-08'!E54+'FCKD 08-09 vs 07-089 '!E54-0.01</f>
        <v>4013.92</v>
      </c>
      <c r="F54" s="229">
        <f>E54/$E$22*100</f>
        <v>11.687027170404852</v>
      </c>
      <c r="G54" s="221">
        <f>E54-C54</f>
        <v>315.62000000000035</v>
      </c>
    </row>
    <row r="55" spans="2:6" ht="13.5" customHeight="1">
      <c r="B55" s="228"/>
      <c r="C55" s="229"/>
      <c r="D55" s="229"/>
      <c r="E55" s="229"/>
      <c r="F55" s="229"/>
    </row>
    <row r="56" spans="2:6" ht="13.5" customHeight="1">
      <c r="B56" s="228" t="s">
        <v>226</v>
      </c>
      <c r="C56" s="229">
        <f>+'GMD 08-09 vs 07-08'!C56+'FCKD 08-09 vs 07-089 '!C56</f>
        <v>290.69</v>
      </c>
      <c r="D56" s="229">
        <f>C56/$C$22*100</f>
        <v>1.0198554120154117</v>
      </c>
      <c r="E56" s="229">
        <f>+'GMD 08-09 vs 07-08'!E56+'FCKD 08-09 vs 07-089 '!E56</f>
        <v>24.82</v>
      </c>
      <c r="F56" s="229"/>
    </row>
    <row r="57" spans="2:6" ht="13.5" customHeight="1">
      <c r="B57" s="228"/>
      <c r="C57" s="229"/>
      <c r="D57" s="229"/>
      <c r="E57" s="229"/>
      <c r="F57" s="229"/>
    </row>
    <row r="58" spans="2:7" ht="15">
      <c r="B58" s="228" t="s">
        <v>125</v>
      </c>
      <c r="C58" s="229">
        <f>+'GMD 08-09 vs 07-08'!C58+'FCKD 08-09 vs 07-089 '!C58</f>
        <v>1125.47</v>
      </c>
      <c r="D58" s="229">
        <f>C58/$C$22*100</f>
        <v>3.9485935896005553</v>
      </c>
      <c r="E58" s="229">
        <f>+'GMD 08-09 vs 07-08'!E58+'FCKD 08-09 vs 07-089 '!E58+0.01-0.78</f>
        <v>916.6299999999999</v>
      </c>
      <c r="F58" s="229">
        <f>E58/$E$22*100</f>
        <v>2.6688822186810395</v>
      </c>
      <c r="G58" s="221">
        <f>E58-C58</f>
        <v>-208.84000000000015</v>
      </c>
    </row>
    <row r="59" spans="2:6" ht="15.75" thickBot="1">
      <c r="B59" s="228"/>
      <c r="C59" s="229"/>
      <c r="D59" s="229"/>
      <c r="E59" s="229"/>
      <c r="F59" s="229"/>
    </row>
    <row r="60" spans="2:7" ht="15.75" thickBot="1">
      <c r="B60" s="235" t="s">
        <v>126</v>
      </c>
      <c r="C60" s="236">
        <f>SUM(C52:C59)</f>
        <v>5114.46</v>
      </c>
      <c r="D60" s="236">
        <f>C60/$C$22*100</f>
        <v>17.943547113888826</v>
      </c>
      <c r="E60" s="236">
        <f>SUM(E52:E59)</f>
        <v>4955.37</v>
      </c>
      <c r="F60" s="236">
        <f>E60/$E$22*100</f>
        <v>14.428175905202167</v>
      </c>
      <c r="G60" s="221">
        <f>E60-C60</f>
        <v>-159.09000000000015</v>
      </c>
    </row>
    <row r="61" spans="2:6" ht="15.75" thickBot="1">
      <c r="B61" s="228"/>
      <c r="C61" s="229"/>
      <c r="D61" s="229"/>
      <c r="E61" s="229"/>
      <c r="F61" s="229"/>
    </row>
    <row r="62" spans="2:7" ht="15">
      <c r="B62" s="224" t="s">
        <v>127</v>
      </c>
      <c r="C62" s="237">
        <f>C50-C60</f>
        <v>647.54</v>
      </c>
      <c r="D62" s="237">
        <f>C62/$C$22*100</f>
        <v>2.2718262530409015</v>
      </c>
      <c r="E62" s="237">
        <f>E50-E60</f>
        <v>2360.970000000004</v>
      </c>
      <c r="F62" s="237">
        <f>E62/$E$22*100</f>
        <v>6.874257717769858</v>
      </c>
      <c r="G62" s="221">
        <f>E62-C62</f>
        <v>1713.430000000004</v>
      </c>
    </row>
    <row r="63" spans="2:6" ht="15.75" thickBot="1">
      <c r="B63" s="232" t="s">
        <v>128</v>
      </c>
      <c r="C63" s="238"/>
      <c r="D63" s="238"/>
      <c r="E63" s="238"/>
      <c r="F63" s="238"/>
    </row>
    <row r="64" spans="2:6" ht="15">
      <c r="B64" s="228"/>
      <c r="C64" s="229"/>
      <c r="D64" s="229"/>
      <c r="E64" s="229"/>
      <c r="F64" s="229"/>
    </row>
    <row r="65" spans="2:7" ht="15">
      <c r="B65" s="228" t="s">
        <v>128</v>
      </c>
      <c r="C65" s="231">
        <f>+'GMD 08-09 vs 07-08'!C65+'FCKD 08-09 vs 07-089 '!C65</f>
        <v>1612.33</v>
      </c>
      <c r="D65" s="231">
        <f>C65/$C$22*100</f>
        <v>5.656690895644187</v>
      </c>
      <c r="E65" s="231">
        <f>+'GMD 08-09 vs 07-08'!E65+'FCKD 08-09 vs 07-089 '!E65</f>
        <v>1480.76</v>
      </c>
      <c r="F65" s="229">
        <f>E65/$E$22*100</f>
        <v>4.311416857547905</v>
      </c>
      <c r="G65" s="221">
        <f>E65-C65</f>
        <v>-131.56999999999994</v>
      </c>
    </row>
    <row r="66" spans="2:6" ht="15.75" thickBot="1">
      <c r="B66" s="228"/>
      <c r="C66" s="229"/>
      <c r="D66" s="229"/>
      <c r="E66" s="229"/>
      <c r="F66" s="229"/>
    </row>
    <row r="67" spans="2:7" ht="15.75" thickBot="1">
      <c r="B67" s="235" t="s">
        <v>129</v>
      </c>
      <c r="C67" s="236">
        <f>C62-C65</f>
        <v>-964.79</v>
      </c>
      <c r="D67" s="236">
        <f>C67/$C$22*100</f>
        <v>-3.3848646426032856</v>
      </c>
      <c r="E67" s="236">
        <f>E62-E65</f>
        <v>880.2100000000039</v>
      </c>
      <c r="F67" s="236">
        <f>E67/$E$22*100</f>
        <v>2.562840860221953</v>
      </c>
      <c r="G67" s="221">
        <f>E67-C67</f>
        <v>1845.0000000000039</v>
      </c>
    </row>
    <row r="68" spans="2:6" ht="15">
      <c r="B68" s="228"/>
      <c r="C68" s="229"/>
      <c r="D68" s="229"/>
      <c r="E68" s="229"/>
      <c r="F68" s="229"/>
    </row>
    <row r="69" spans="2:7" ht="15">
      <c r="B69" s="228" t="s">
        <v>77</v>
      </c>
      <c r="C69" s="229">
        <f>+'GMD 08-09 vs 07-08'!C69+'FCKD 08-09 vs 07-089 '!C69</f>
        <v>1243.85</v>
      </c>
      <c r="D69" s="229">
        <f>C69/$C$22*100</f>
        <v>4.363917417989508</v>
      </c>
      <c r="E69" s="231">
        <f>+'GMD 08-09 vs 07-08'!E69+'FCKD 08-09 vs 07-089 '!E69-0.01</f>
        <v>1223.01</v>
      </c>
      <c r="F69" s="229">
        <f>E69/$E$22*100</f>
        <v>3.560945683939101</v>
      </c>
      <c r="G69" s="221">
        <f>E69-C69</f>
        <v>-20.839999999999918</v>
      </c>
    </row>
    <row r="70" spans="2:6" ht="15.75" thickBot="1">
      <c r="B70" s="226"/>
      <c r="C70" s="229"/>
      <c r="D70" s="229"/>
      <c r="E70" s="229"/>
      <c r="F70" s="229"/>
    </row>
    <row r="71" spans="2:7" ht="15">
      <c r="B71" s="224" t="s">
        <v>132</v>
      </c>
      <c r="C71" s="237">
        <f>C67-C69</f>
        <v>-2208.64</v>
      </c>
      <c r="D71" s="237">
        <f>C71/$C$22*100</f>
        <v>-7.748782060592793</v>
      </c>
      <c r="E71" s="237">
        <f>E67-E69</f>
        <v>-342.7999999999961</v>
      </c>
      <c r="F71" s="237">
        <f>E71/$E$22*100</f>
        <v>-0.9981048237171487</v>
      </c>
      <c r="G71" s="221">
        <f>E71-C71</f>
        <v>1865.8400000000038</v>
      </c>
    </row>
    <row r="72" spans="2:6" ht="15.75" thickBot="1">
      <c r="B72" s="232" t="s">
        <v>223</v>
      </c>
      <c r="C72" s="232"/>
      <c r="D72" s="232"/>
      <c r="E72" s="232"/>
      <c r="F72" s="232"/>
    </row>
    <row r="73" spans="3:6" ht="10.5" customHeight="1">
      <c r="C73" s="219"/>
      <c r="D73" s="219"/>
      <c r="E73" s="219"/>
      <c r="F73" s="219"/>
    </row>
    <row r="74" spans="3:6" ht="15" hidden="1">
      <c r="C74" s="219"/>
      <c r="D74" s="219"/>
      <c r="E74" s="219"/>
      <c r="F74" s="219"/>
    </row>
    <row r="75" spans="2:6" ht="15" hidden="1">
      <c r="B75" s="219" t="s">
        <v>131</v>
      </c>
      <c r="C75" s="220"/>
      <c r="D75" s="220"/>
      <c r="E75" s="220"/>
      <c r="F75" s="220"/>
    </row>
    <row r="76" ht="15" hidden="1"/>
    <row r="77" ht="3.75" customHeight="1" hidden="1"/>
    <row r="78" spans="2:6" ht="15" hidden="1">
      <c r="B78" s="219" t="s">
        <v>132</v>
      </c>
      <c r="C78" s="220"/>
      <c r="D78" s="220"/>
      <c r="E78" s="220"/>
      <c r="F78" s="220"/>
    </row>
    <row r="79" ht="15" hidden="1">
      <c r="B79" s="219" t="s">
        <v>133</v>
      </c>
    </row>
    <row r="80" ht="15" hidden="1"/>
    <row r="81" ht="15" hidden="1"/>
    <row r="82" ht="15" hidden="1"/>
    <row r="83" ht="15" hidden="1"/>
    <row r="84" ht="15" hidden="1">
      <c r="B84" s="219" t="s">
        <v>134</v>
      </c>
    </row>
    <row r="85" spans="2:6" ht="15" hidden="1">
      <c r="B85" s="219" t="s">
        <v>224</v>
      </c>
      <c r="C85" s="270"/>
      <c r="D85" s="270"/>
      <c r="E85" s="270"/>
      <c r="F85" s="270"/>
    </row>
    <row r="86" spans="3:5" ht="10.5" customHeight="1" hidden="1">
      <c r="C86" s="222"/>
      <c r="E86" s="222"/>
    </row>
    <row r="87" spans="2:5" ht="15" hidden="1">
      <c r="B87" s="219" t="s">
        <v>136</v>
      </c>
      <c r="C87" s="222">
        <v>21030.473</v>
      </c>
      <c r="E87" s="222">
        <v>21030.473</v>
      </c>
    </row>
    <row r="88" spans="3:5" ht="15" hidden="1">
      <c r="C88" s="223"/>
      <c r="E88" s="223"/>
    </row>
    <row r="89" spans="3:5" ht="15" hidden="1">
      <c r="C89" s="223"/>
      <c r="E89" s="223"/>
    </row>
    <row r="90" ht="15">
      <c r="B90" s="219"/>
    </row>
  </sheetData>
  <mergeCells count="6">
    <mergeCell ref="C5:D5"/>
    <mergeCell ref="C6:D6"/>
    <mergeCell ref="C85:D85"/>
    <mergeCell ref="E5:F5"/>
    <mergeCell ref="E6:F6"/>
    <mergeCell ref="E85:F85"/>
  </mergeCells>
  <printOptions/>
  <pageMargins left="1" right="0.25" top="0.25" bottom="0.25" header="0.5" footer="0.5"/>
  <pageSetup fitToHeight="1" fitToWidth="1" horizontalDpi="180" verticalDpi="180" orientation="portrait" paperSize="9" scale="71" r:id="rId1"/>
</worksheet>
</file>

<file path=xl/worksheets/sheet9.xml><?xml version="1.0" encoding="utf-8"?>
<worksheet xmlns="http://schemas.openxmlformats.org/spreadsheetml/2006/main" xmlns:r="http://schemas.openxmlformats.org/officeDocument/2006/relationships">
  <sheetPr>
    <pageSetUpPr fitToPage="1"/>
  </sheetPr>
  <dimension ref="B1:G90"/>
  <sheetViews>
    <sheetView workbookViewId="0" topLeftCell="A1">
      <selection activeCell="C22" sqref="C22"/>
    </sheetView>
  </sheetViews>
  <sheetFormatPr defaultColWidth="9.140625" defaultRowHeight="12.75"/>
  <cols>
    <col min="1" max="1" width="9.140625" style="218" customWidth="1"/>
    <col min="2" max="2" width="39.7109375" style="218" customWidth="1"/>
    <col min="3" max="3" width="12.8515625" style="218" bestFit="1" customWidth="1"/>
    <col min="4" max="4" width="8.28125" style="218" bestFit="1" customWidth="1"/>
    <col min="5" max="5" width="12.8515625" style="218" bestFit="1" customWidth="1"/>
    <col min="6" max="6" width="8.28125" style="218" bestFit="1" customWidth="1"/>
    <col min="7" max="7" width="10.28125" style="218" hidden="1" customWidth="1"/>
    <col min="8" max="16384" width="10.28125" style="218" customWidth="1"/>
  </cols>
  <sheetData>
    <row r="1" ht="16.5">
      <c r="B1" s="239" t="s">
        <v>64</v>
      </c>
    </row>
    <row r="2" ht="15">
      <c r="B2" s="219"/>
    </row>
    <row r="3" ht="16.5">
      <c r="B3" s="239" t="s">
        <v>228</v>
      </c>
    </row>
    <row r="4" ht="17.25" thickBot="1">
      <c r="B4" s="239" t="s">
        <v>233</v>
      </c>
    </row>
    <row r="5" spans="3:7" ht="15.75" thickBot="1">
      <c r="C5" s="292" t="s">
        <v>70</v>
      </c>
      <c r="D5" s="293"/>
      <c r="E5" s="292" t="s">
        <v>70</v>
      </c>
      <c r="F5" s="293"/>
      <c r="G5" s="218" t="s">
        <v>220</v>
      </c>
    </row>
    <row r="6" spans="3:6" ht="15.75" thickBot="1">
      <c r="C6" s="268" t="s">
        <v>221</v>
      </c>
      <c r="D6" s="269"/>
      <c r="E6" s="268" t="s">
        <v>222</v>
      </c>
      <c r="F6" s="269"/>
    </row>
    <row r="7" spans="2:6" ht="15">
      <c r="B7" s="224" t="s">
        <v>12</v>
      </c>
      <c r="C7" s="225" t="s">
        <v>99</v>
      </c>
      <c r="D7" s="225" t="s">
        <v>100</v>
      </c>
      <c r="E7" s="225" t="s">
        <v>99</v>
      </c>
      <c r="F7" s="225" t="s">
        <v>100</v>
      </c>
    </row>
    <row r="8" spans="2:6" ht="15.75" thickBot="1">
      <c r="B8" s="233"/>
      <c r="C8" s="234" t="s">
        <v>101</v>
      </c>
      <c r="D8" s="233"/>
      <c r="E8" s="234" t="s">
        <v>101</v>
      </c>
      <c r="F8" s="233"/>
    </row>
    <row r="9" spans="2:6" ht="15">
      <c r="B9" s="226"/>
      <c r="C9" s="227"/>
      <c r="D9" s="226"/>
      <c r="E9" s="227"/>
      <c r="F9" s="226"/>
    </row>
    <row r="10" spans="2:7" ht="15">
      <c r="B10" s="228" t="s">
        <v>102</v>
      </c>
      <c r="C10" s="229">
        <f>+'GMD 08-09 vs 07-08'!C10+'FCKD 08-09 vs 07-089 '!C10</f>
        <v>27033.079999999998</v>
      </c>
      <c r="D10" s="229">
        <f>C10/$C$22*100</f>
        <v>94.8427291666228</v>
      </c>
      <c r="E10" s="229">
        <f>+'GMD 08-09 vs 07-08'!E10+'FCKD 08-09 vs 07-089 '!E10</f>
        <v>33868.65</v>
      </c>
      <c r="F10" s="229">
        <f>E10/$E$22*100</f>
        <v>94.99051599547548</v>
      </c>
      <c r="G10" s="221">
        <f>E10-C10</f>
        <v>6835.570000000003</v>
      </c>
    </row>
    <row r="11" spans="2:6" ht="15">
      <c r="B11" s="228"/>
      <c r="C11" s="229"/>
      <c r="D11" s="229"/>
      <c r="E11" s="229"/>
      <c r="F11" s="229"/>
    </row>
    <row r="12" spans="2:7" ht="15">
      <c r="B12" s="228" t="s">
        <v>103</v>
      </c>
      <c r="C12" s="229">
        <f>+'GMD 08-09 vs 07-08'!C12+'FCKD 08-09 vs 07-089 '!C12</f>
        <v>424.01</v>
      </c>
      <c r="D12" s="229">
        <f>C12/$C$22*100</f>
        <v>1.4875946652745355</v>
      </c>
      <c r="E12" s="229">
        <f>+'GMD 08-09 vs 07-08'!E12+'FCKD 08-09 vs 07-089 '!E12</f>
        <v>176.62</v>
      </c>
      <c r="F12" s="229">
        <f>E12/$E$22*100</f>
        <v>0.4953614902017316</v>
      </c>
      <c r="G12" s="221">
        <f>E12-C12</f>
        <v>-247.39</v>
      </c>
    </row>
    <row r="13" spans="2:6" ht="15">
      <c r="B13" s="228"/>
      <c r="C13" s="229"/>
      <c r="D13" s="229"/>
      <c r="E13" s="229"/>
      <c r="F13" s="229"/>
    </row>
    <row r="14" spans="2:7" ht="15">
      <c r="B14" s="228" t="s">
        <v>104</v>
      </c>
      <c r="C14" s="229">
        <f>+'GMD 08-09 vs 07-08'!C14+'FCKD 08-09 vs 07-089 '!C14</f>
        <v>93.25</v>
      </c>
      <c r="D14" s="229">
        <f>C14/$C$22*100</f>
        <v>0.32715785603370307</v>
      </c>
      <c r="E14" s="229">
        <f>+'GMD 08-09 vs 07-08'!E14+'FCKD 08-09 vs 07-089 '!E14+36.62</f>
        <v>95.75999999999999</v>
      </c>
      <c r="F14" s="229">
        <f>E14/$E$22*100</f>
        <v>0.26857556506464625</v>
      </c>
      <c r="G14" s="221">
        <f>E14-C14</f>
        <v>2.509999999999991</v>
      </c>
    </row>
    <row r="15" spans="2:6" ht="15">
      <c r="B15" s="228"/>
      <c r="C15" s="229"/>
      <c r="D15" s="229"/>
      <c r="E15" s="229"/>
      <c r="F15" s="229"/>
    </row>
    <row r="16" spans="2:7" ht="15">
      <c r="B16" s="228" t="s">
        <v>105</v>
      </c>
      <c r="C16" s="229">
        <f>+'GMD 08-09 vs 07-08'!C16+'FCKD 08-09 vs 07-089 '!C16</f>
        <v>710.37</v>
      </c>
      <c r="D16" s="229">
        <f>C16/$C$22*100</f>
        <v>2.4922587259052187</v>
      </c>
      <c r="E16" s="229">
        <f>+'GMD 08-09 vs 07-08'!E16+'FCKD 08-09 vs 07-089 '!E16-36.62-0.78</f>
        <v>1345.01</v>
      </c>
      <c r="F16" s="229">
        <f>E16/$E$22*100</f>
        <v>3.7723143355012514</v>
      </c>
      <c r="G16" s="221">
        <f>E16-C16</f>
        <v>634.64</v>
      </c>
    </row>
    <row r="17" spans="2:6" ht="15">
      <c r="B17" s="228"/>
      <c r="C17" s="229"/>
      <c r="D17" s="229"/>
      <c r="E17" s="229"/>
      <c r="F17" s="229"/>
    </row>
    <row r="18" spans="2:7" ht="15">
      <c r="B18" s="230" t="s">
        <v>106</v>
      </c>
      <c r="C18" s="229">
        <f>+'GMD 08-09 vs 07-08'!C18+'FCKD 08-09 vs 07-089 '!C18</f>
        <v>33.49</v>
      </c>
      <c r="D18" s="229">
        <f>C18/$C$22*100</f>
        <v>0.11749615655301572</v>
      </c>
      <c r="E18" s="229">
        <f>+'GMD 08-09 vs 07-08'!E18+'FCKD 08-09 vs 07-089 '!E18</f>
        <v>72.97</v>
      </c>
      <c r="F18" s="229">
        <f>E18/$E$22*100</f>
        <v>0.20465704869222257</v>
      </c>
      <c r="G18" s="221">
        <f>E18-C18</f>
        <v>39.48</v>
      </c>
    </row>
    <row r="19" spans="2:6" ht="15">
      <c r="B19" s="228"/>
      <c r="C19" s="229"/>
      <c r="D19" s="229"/>
      <c r="E19" s="229"/>
      <c r="F19" s="229"/>
    </row>
    <row r="20" spans="2:7" ht="15">
      <c r="B20" s="228" t="s">
        <v>107</v>
      </c>
      <c r="C20" s="229">
        <f>+'GMD 08-09 vs 07-08'!C20+'FCKD 08-09 vs 07-089 '!C20</f>
        <v>208.86</v>
      </c>
      <c r="D20" s="229">
        <f>C20/$C$22*100</f>
        <v>0.7327634296107156</v>
      </c>
      <c r="E20" s="229">
        <f>+'GMD 08-09 vs 07-08'!E20+'FCKD 08-09 vs 07-089 '!E20</f>
        <v>95.76</v>
      </c>
      <c r="F20" s="229">
        <f>E20/$E$22*100</f>
        <v>0.26857556506464625</v>
      </c>
      <c r="G20" s="221">
        <f>E20-C20</f>
        <v>-113.10000000000001</v>
      </c>
    </row>
    <row r="21" spans="2:6" ht="15.75" thickBot="1">
      <c r="B21" s="226"/>
      <c r="C21" s="229"/>
      <c r="D21" s="229"/>
      <c r="E21" s="229"/>
      <c r="F21" s="229"/>
    </row>
    <row r="22" spans="2:7" ht="15.75" thickBot="1">
      <c r="B22" s="235" t="s">
        <v>71</v>
      </c>
      <c r="C22" s="236">
        <f>SUM(C10:C20)</f>
        <v>28503.059999999998</v>
      </c>
      <c r="D22" s="236">
        <f>C22/$C$22*100</f>
        <v>100</v>
      </c>
      <c r="E22" s="236">
        <f>SUM(E10:E20)</f>
        <v>35654.77000000001</v>
      </c>
      <c r="F22" s="236">
        <f>E22/$E$22*100</f>
        <v>100</v>
      </c>
      <c r="G22" s="221">
        <f>E22-C22</f>
        <v>7151.710000000014</v>
      </c>
    </row>
    <row r="23" spans="2:6" ht="15">
      <c r="B23" s="226"/>
      <c r="C23" s="229"/>
      <c r="D23" s="229"/>
      <c r="E23" s="229"/>
      <c r="F23" s="229"/>
    </row>
    <row r="24" spans="2:6" ht="15">
      <c r="B24" s="228" t="s">
        <v>108</v>
      </c>
      <c r="C24" s="229"/>
      <c r="D24" s="229"/>
      <c r="E24" s="229"/>
      <c r="F24" s="229"/>
    </row>
    <row r="25" spans="2:6" ht="15">
      <c r="B25" s="228"/>
      <c r="C25" s="229"/>
      <c r="D25" s="229"/>
      <c r="E25" s="229"/>
      <c r="F25" s="229"/>
    </row>
    <row r="26" spans="2:7" ht="15">
      <c r="B26" s="228" t="s">
        <v>109</v>
      </c>
      <c r="C26" s="231">
        <f>+'GMD 08-09 vs 07-08'!C26+'FCKD 08-09 vs 07-089 '!C26</f>
        <v>15569.32</v>
      </c>
      <c r="D26" s="231">
        <f>C26/$C$22*100</f>
        <v>54.62332816195875</v>
      </c>
      <c r="E26" s="231">
        <f>+'GMD 08-09 vs 07-08'!E26+'FCKD 08-09 vs 07-089 '!E26</f>
        <v>19187.870000000003</v>
      </c>
      <c r="F26" s="229">
        <f>E26/$E$22*100</f>
        <v>53.815716662875666</v>
      </c>
      <c r="G26" s="221">
        <f>E26-C26</f>
        <v>3618.550000000003</v>
      </c>
    </row>
    <row r="27" spans="2:6" ht="15">
      <c r="B27" s="228"/>
      <c r="C27" s="231"/>
      <c r="D27" s="231"/>
      <c r="E27" s="231"/>
      <c r="F27" s="229"/>
    </row>
    <row r="28" spans="2:7" ht="15">
      <c r="B28" s="228" t="s">
        <v>110</v>
      </c>
      <c r="C28" s="231">
        <f>+'GMD 08-09 vs 07-08'!C28+'FCKD 08-09 vs 07-089 '!C28</f>
        <v>36.46</v>
      </c>
      <c r="D28" s="231">
        <f>C28/$C$22*100</f>
        <v>0.12791609041274868</v>
      </c>
      <c r="E28" s="231">
        <f>+'GMD 08-09 vs 07-08'!E28+'FCKD 08-09 vs 07-089 '!E28</f>
        <v>215.94</v>
      </c>
      <c r="F28" s="229">
        <f>E28/$E$22*100</f>
        <v>0.6056412648293621</v>
      </c>
      <c r="G28" s="221">
        <f>E28-C28</f>
        <v>179.48</v>
      </c>
    </row>
    <row r="29" spans="2:6" ht="15">
      <c r="B29" s="228"/>
      <c r="C29" s="229"/>
      <c r="D29" s="229"/>
      <c r="E29" s="229"/>
      <c r="F29" s="229"/>
    </row>
    <row r="30" spans="2:7" ht="15">
      <c r="B30" s="228" t="s">
        <v>113</v>
      </c>
      <c r="C30" s="229">
        <f>+'GMD 08-09 vs 07-08'!C30+'FCKD 08-09 vs 07-089 '!C30</f>
        <v>1527.27</v>
      </c>
      <c r="D30" s="229">
        <f>C30/$C$22*100</f>
        <v>5.3582667966176265</v>
      </c>
      <c r="E30" s="231">
        <f>+'GMD 08-09 vs 07-08'!E30+'FCKD 08-09 vs 07-089 '!E30</f>
        <v>1498.53</v>
      </c>
      <c r="F30" s="229">
        <f>E30/$E$22*100</f>
        <v>4.20288786044616</v>
      </c>
      <c r="G30" s="221">
        <f>E30-C30</f>
        <v>-28.74000000000001</v>
      </c>
    </row>
    <row r="31" spans="2:7" ht="15">
      <c r="B31" s="228"/>
      <c r="C31" s="229"/>
      <c r="D31" s="229"/>
      <c r="E31" s="231"/>
      <c r="F31" s="229"/>
      <c r="G31" s="221"/>
    </row>
    <row r="32" spans="2:7" ht="15">
      <c r="B32" s="228" t="s">
        <v>111</v>
      </c>
      <c r="C32" s="229">
        <f>+'GMD 08-09 vs 07-08'!C32+'FCKD 08-09 vs 07-089 '!C32</f>
        <v>396.54</v>
      </c>
      <c r="D32" s="229">
        <f>C32/$C$22*100</f>
        <v>1.3912190480601032</v>
      </c>
      <c r="E32" s="231">
        <f>+'GMD 08-09 vs 07-08'!E32+'FCKD 08-09 vs 07-089 '!E32</f>
        <v>136.28000000000003</v>
      </c>
      <c r="F32" s="229">
        <f>E32/$E$22*100</f>
        <v>0.3822209482770468</v>
      </c>
      <c r="G32" s="221">
        <f>E32-C32</f>
        <v>-260.26</v>
      </c>
    </row>
    <row r="33" spans="2:6" ht="15">
      <c r="B33" s="228"/>
      <c r="C33" s="229"/>
      <c r="D33" s="229"/>
      <c r="E33" s="229"/>
      <c r="F33" s="229"/>
    </row>
    <row r="34" spans="2:7" ht="15">
      <c r="B34" s="228" t="s">
        <v>112</v>
      </c>
      <c r="C34" s="229">
        <f>+'GMD 08-09 vs 07-08'!C34+'FCKD 08-09 vs 07-089 '!C34</f>
        <v>-759.5799999999999</v>
      </c>
      <c r="D34" s="229">
        <f>C34/$C$22*100</f>
        <v>-2.6649068556148006</v>
      </c>
      <c r="E34" s="231">
        <f>+'GMD 08-09 vs 07-08'!E34+'FCKD 08-09 vs 07-089 '!E34</f>
        <v>-730.6</v>
      </c>
      <c r="F34" s="229">
        <f>E34/$E$22*100</f>
        <v>-2.0490946933608036</v>
      </c>
      <c r="G34" s="221">
        <f>E34-C34</f>
        <v>28.979999999999905</v>
      </c>
    </row>
    <row r="35" spans="2:6" ht="15">
      <c r="B35" s="228"/>
      <c r="C35" s="229"/>
      <c r="D35" s="229"/>
      <c r="E35" s="229"/>
      <c r="F35" s="229"/>
    </row>
    <row r="36" spans="2:7" ht="15">
      <c r="B36" s="228" t="s">
        <v>114</v>
      </c>
      <c r="C36" s="229">
        <f>+'GMD 08-09 vs 07-08'!C36+'FCKD 08-09 vs 07-089 '!C36</f>
        <v>655.94</v>
      </c>
      <c r="D36" s="229">
        <f>C36/$C$22*100</f>
        <v>2.3012967730482274</v>
      </c>
      <c r="E36" s="229">
        <f>+'GMD 08-09 vs 07-08'!E36+'FCKD 08-09 vs 07-089 '!E36</f>
        <v>927.09</v>
      </c>
      <c r="F36" s="229">
        <f>E36/$E$22*100</f>
        <v>2.600185052378685</v>
      </c>
      <c r="G36" s="221">
        <f>E36-C36</f>
        <v>271.15</v>
      </c>
    </row>
    <row r="37" spans="2:6" ht="15">
      <c r="B37" s="228"/>
      <c r="C37" s="229"/>
      <c r="D37" s="229"/>
      <c r="E37" s="229"/>
      <c r="F37" s="229"/>
    </row>
    <row r="38" spans="2:7" ht="15">
      <c r="B38" s="228" t="s">
        <v>115</v>
      </c>
      <c r="C38" s="229">
        <f>+'GMD 08-09 vs 07-08'!C38+'FCKD 08-09 vs 07-089 '!C38</f>
        <v>227.5</v>
      </c>
      <c r="D38" s="229">
        <f>C38/$C$22*100</f>
        <v>0.7981599168650665</v>
      </c>
      <c r="E38" s="229">
        <f>+'GMD 08-09 vs 07-08'!E38+'FCKD 08-09 vs 07-089 '!E38</f>
        <v>452.51</v>
      </c>
      <c r="F38" s="229">
        <f>E38/$E$22*100</f>
        <v>1.2691429505785616</v>
      </c>
      <c r="G38" s="221">
        <f>E38-C38</f>
        <v>225.01</v>
      </c>
    </row>
    <row r="39" spans="2:6" ht="15">
      <c r="B39" s="228"/>
      <c r="C39" s="229"/>
      <c r="D39" s="229"/>
      <c r="E39" s="229"/>
      <c r="F39" s="229"/>
    </row>
    <row r="40" spans="2:7" ht="15">
      <c r="B40" s="228" t="s">
        <v>116</v>
      </c>
      <c r="C40" s="229">
        <f>+'GMD 08-09 vs 07-08'!C40+'FCKD 08-09 vs 07-089 '!C40</f>
        <v>184.28</v>
      </c>
      <c r="D40" s="229">
        <f>C40/$C$22*100</f>
        <v>0.6465270746368987</v>
      </c>
      <c r="E40" s="229">
        <f>+'GMD 08-09 vs 07-08'!E40+'FCKD 08-09 vs 07-089 '!E40</f>
        <v>235.87</v>
      </c>
      <c r="F40" s="229">
        <f>E40/$E$22*100</f>
        <v>0.6615384140747504</v>
      </c>
      <c r="G40" s="221">
        <f>E40-C40</f>
        <v>51.59</v>
      </c>
    </row>
    <row r="41" spans="2:6" ht="15">
      <c r="B41" s="228"/>
      <c r="C41" s="229"/>
      <c r="D41" s="229"/>
      <c r="E41" s="229"/>
      <c r="F41" s="229"/>
    </row>
    <row r="42" spans="2:7" ht="15">
      <c r="B42" s="228" t="s">
        <v>117</v>
      </c>
      <c r="C42" s="231">
        <f>+'GMD 08-09 vs 07-08'!C42+'FCKD 08-09 vs 07-089 '!C42</f>
        <v>2961.01</v>
      </c>
      <c r="D42" s="231">
        <f>C42/$C$22*100</f>
        <v>10.38839338653464</v>
      </c>
      <c r="E42" s="231">
        <f>+'GMD 08-09 vs 07-08'!E42+'FCKD 08-09 vs 07-089 '!E42</f>
        <v>4053.52</v>
      </c>
      <c r="F42" s="229">
        <f>E42/$E$22*100</f>
        <v>11.368801425447419</v>
      </c>
      <c r="G42" s="221">
        <f>E42-C42</f>
        <v>1092.5099999999998</v>
      </c>
    </row>
    <row r="43" spans="2:6" ht="15">
      <c r="B43" s="228"/>
      <c r="C43" s="229"/>
      <c r="D43" s="229"/>
      <c r="E43" s="229"/>
      <c r="F43" s="229"/>
    </row>
    <row r="44" spans="2:7" ht="15">
      <c r="B44" s="228" t="s">
        <v>118</v>
      </c>
      <c r="C44" s="229">
        <f>+'GMD 08-09 vs 07-08'!C44+'FCKD 08-09 vs 07-089 '!C44</f>
        <v>607.7199999999999</v>
      </c>
      <c r="D44" s="229">
        <f>C44/$C$22*100</f>
        <v>2.1321219546252226</v>
      </c>
      <c r="E44" s="229">
        <f>+'GMD 08-09 vs 07-08'!E44+'FCKD 08-09 vs 07-089 '!E44</f>
        <v>828.5</v>
      </c>
      <c r="F44" s="229">
        <f>E44/$E$22*100</f>
        <v>2.323672260401623</v>
      </c>
      <c r="G44" s="221">
        <f>E44-C44</f>
        <v>220.7800000000001</v>
      </c>
    </row>
    <row r="45" spans="2:6" ht="15">
      <c r="B45" s="228"/>
      <c r="C45" s="229"/>
      <c r="D45" s="229"/>
      <c r="E45" s="229"/>
      <c r="F45" s="229"/>
    </row>
    <row r="46" spans="2:7" ht="15">
      <c r="B46" s="228" t="s">
        <v>119</v>
      </c>
      <c r="C46" s="229">
        <f>+'GMD 08-09 vs 07-08'!C46+'FCKD 08-09 vs 07-089 '!C46</f>
        <v>1334.6</v>
      </c>
      <c r="D46" s="229">
        <f>C46/$C$22*100</f>
        <v>4.682304285925792</v>
      </c>
      <c r="E46" s="229">
        <f>+'GMD 08-09 vs 07-08'!E46+'FCKD 08-09 vs 07-089 '!E46</f>
        <v>1532.92</v>
      </c>
      <c r="F46" s="229">
        <f>E46/$E$22*100</f>
        <v>4.2993405931380275</v>
      </c>
      <c r="G46" s="221">
        <f>E46-C46</f>
        <v>198.32000000000016</v>
      </c>
    </row>
    <row r="47" spans="2:6" ht="15.75" thickBot="1">
      <c r="B47" s="228"/>
      <c r="C47" s="229"/>
      <c r="D47" s="229"/>
      <c r="E47" s="229"/>
      <c r="F47" s="229"/>
    </row>
    <row r="48" spans="2:7" ht="15.75" thickBot="1">
      <c r="B48" s="235" t="s">
        <v>120</v>
      </c>
      <c r="C48" s="236">
        <f>SUM(C26:C47)</f>
        <v>22741.059999999998</v>
      </c>
      <c r="D48" s="236">
        <f>C48/$C$22*100</f>
        <v>79.78462663307027</v>
      </c>
      <c r="E48" s="236">
        <f>SUM(E26:E47)</f>
        <v>28338.43</v>
      </c>
      <c r="F48" s="236">
        <f>E48/$E$22*100</f>
        <v>79.4800527390865</v>
      </c>
      <c r="G48" s="221">
        <f>E48-C48</f>
        <v>5597.370000000003</v>
      </c>
    </row>
    <row r="49" spans="2:6" ht="15.75" thickBot="1">
      <c r="B49" s="228"/>
      <c r="C49" s="229"/>
      <c r="D49" s="229"/>
      <c r="E49" s="229"/>
      <c r="F49" s="229"/>
    </row>
    <row r="50" spans="2:7" ht="15.75" thickBot="1">
      <c r="B50" s="235" t="s">
        <v>121</v>
      </c>
      <c r="C50" s="236">
        <f>C22-C48</f>
        <v>5762</v>
      </c>
      <c r="D50" s="236">
        <f>C50/$C$22*100</f>
        <v>20.21537336692973</v>
      </c>
      <c r="E50" s="236">
        <f>E22-E48</f>
        <v>7316.340000000011</v>
      </c>
      <c r="F50" s="236">
        <f>E50/$E$22*100</f>
        <v>20.5199472609135</v>
      </c>
      <c r="G50" s="221">
        <f>E50-C50</f>
        <v>1554.340000000011</v>
      </c>
    </row>
    <row r="51" spans="2:6" ht="15">
      <c r="B51" s="228"/>
      <c r="C51" s="229"/>
      <c r="D51" s="229"/>
      <c r="E51" s="229"/>
      <c r="F51" s="229"/>
    </row>
    <row r="52" spans="2:6" ht="15">
      <c r="B52" s="228" t="s">
        <v>122</v>
      </c>
      <c r="C52" s="229"/>
      <c r="D52" s="229"/>
      <c r="E52" s="229"/>
      <c r="F52" s="229"/>
    </row>
    <row r="53" spans="2:6" ht="15">
      <c r="B53" s="228"/>
      <c r="C53" s="229"/>
      <c r="D53" s="229"/>
      <c r="E53" s="229"/>
      <c r="F53" s="229"/>
    </row>
    <row r="54" spans="2:7" ht="15">
      <c r="B54" s="228" t="s">
        <v>123</v>
      </c>
      <c r="C54" s="231">
        <f>+'GMD 08-09 vs 07-08'!C54+'FCKD 08-09 vs 07-089 '!C54</f>
        <v>3698.2999999999997</v>
      </c>
      <c r="D54" s="231">
        <f>C54/$C$22*100</f>
        <v>12.975098112272857</v>
      </c>
      <c r="E54" s="231">
        <f>+'GMD 08-09 vs 07-08'!E54+'FCKD 08-09 vs 07-089 '!E54-0.01</f>
        <v>4013.92</v>
      </c>
      <c r="F54" s="229">
        <f>E54/$E$22*100</f>
        <v>11.25773634215001</v>
      </c>
      <c r="G54" s="221">
        <f>E54-C54</f>
        <v>315.62000000000035</v>
      </c>
    </row>
    <row r="55" spans="2:6" ht="13.5" customHeight="1">
      <c r="B55" s="228"/>
      <c r="C55" s="229"/>
      <c r="D55" s="229"/>
      <c r="E55" s="229"/>
      <c r="F55" s="229"/>
    </row>
    <row r="56" spans="2:6" ht="13.5" customHeight="1">
      <c r="B56" s="228" t="s">
        <v>226</v>
      </c>
      <c r="C56" s="229">
        <f>+'GMD 08-09 vs 07-08'!C56+'FCKD 08-09 vs 07-089 '!C56</f>
        <v>290.69</v>
      </c>
      <c r="D56" s="229">
        <f>C56/$C$22*100</f>
        <v>1.0198554120154117</v>
      </c>
      <c r="E56" s="229">
        <f>+'GMD 08-09 vs 07-08'!E56+'FCKD 08-09 vs 07-089 '!E56</f>
        <v>24.82</v>
      </c>
      <c r="F56" s="229"/>
    </row>
    <row r="57" spans="2:6" ht="13.5" customHeight="1">
      <c r="B57" s="228"/>
      <c r="C57" s="229"/>
      <c r="D57" s="229"/>
      <c r="E57" s="229"/>
      <c r="F57" s="229"/>
    </row>
    <row r="58" spans="2:7" ht="15">
      <c r="B58" s="228" t="s">
        <v>125</v>
      </c>
      <c r="C58" s="229">
        <f>+'GMD 08-09 vs 07-08'!C58+'FCKD 08-09 vs 07-089 '!C58</f>
        <v>1125.47</v>
      </c>
      <c r="D58" s="229">
        <f>C58/$C$22*100</f>
        <v>3.9485935896005553</v>
      </c>
      <c r="E58" s="229">
        <f>+'GMD 08-09 vs 07-08'!E58+'FCKD 08-09 vs 07-089 '!E58+0.01-0.78</f>
        <v>916.6299999999999</v>
      </c>
      <c r="F58" s="229">
        <f>E58/$E$22*100</f>
        <v>2.570848164214773</v>
      </c>
      <c r="G58" s="221">
        <f>E58-C58</f>
        <v>-208.84000000000015</v>
      </c>
    </row>
    <row r="59" spans="2:6" ht="15.75" thickBot="1">
      <c r="B59" s="228"/>
      <c r="C59" s="229"/>
      <c r="D59" s="229"/>
      <c r="E59" s="229"/>
      <c r="F59" s="229"/>
    </row>
    <row r="60" spans="2:7" ht="15.75" thickBot="1">
      <c r="B60" s="235" t="s">
        <v>126</v>
      </c>
      <c r="C60" s="236">
        <f>SUM(C52:C59)</f>
        <v>5114.46</v>
      </c>
      <c r="D60" s="236">
        <f>C60/$C$22*100</f>
        <v>17.943547113888826</v>
      </c>
      <c r="E60" s="236">
        <f>SUM(E52:E59)</f>
        <v>4955.37</v>
      </c>
      <c r="F60" s="236">
        <f>E60/$E$22*100</f>
        <v>13.898196510593108</v>
      </c>
      <c r="G60" s="221">
        <f>E60-C60</f>
        <v>-159.09000000000015</v>
      </c>
    </row>
    <row r="61" spans="2:6" ht="15.75" thickBot="1">
      <c r="B61" s="228"/>
      <c r="C61" s="229"/>
      <c r="D61" s="229"/>
      <c r="E61" s="229"/>
      <c r="F61" s="229"/>
    </row>
    <row r="62" spans="2:7" ht="15">
      <c r="B62" s="224" t="s">
        <v>127</v>
      </c>
      <c r="C62" s="237">
        <f>C50-C60</f>
        <v>647.54</v>
      </c>
      <c r="D62" s="237">
        <f>C62/$C$22*100</f>
        <v>2.2718262530409015</v>
      </c>
      <c r="E62" s="237">
        <f>E50-E60</f>
        <v>2360.970000000011</v>
      </c>
      <c r="F62" s="237">
        <f>E62/$E$22*100</f>
        <v>6.621750750320393</v>
      </c>
      <c r="G62" s="221">
        <f>E62-C62</f>
        <v>1713.4300000000112</v>
      </c>
    </row>
    <row r="63" spans="2:6" ht="15.75" thickBot="1">
      <c r="B63" s="232" t="s">
        <v>128</v>
      </c>
      <c r="C63" s="238"/>
      <c r="D63" s="238"/>
      <c r="E63" s="238"/>
      <c r="F63" s="238"/>
    </row>
    <row r="64" spans="2:6" ht="15">
      <c r="B64" s="228"/>
      <c r="C64" s="229"/>
      <c r="D64" s="229"/>
      <c r="E64" s="229"/>
      <c r="F64" s="229"/>
    </row>
    <row r="65" spans="2:7" ht="15">
      <c r="B65" s="228" t="s">
        <v>128</v>
      </c>
      <c r="C65" s="231">
        <f>+'GMD 08-09 vs 07-08'!C65+'FCKD 08-09 vs 07-089 '!C65</f>
        <v>1612.33</v>
      </c>
      <c r="D65" s="231">
        <f>C65/$C$22*100</f>
        <v>5.656690895644187</v>
      </c>
      <c r="E65" s="231">
        <f>+'GMD 08-09 vs 07-08'!E65+'FCKD 08-09 vs 07-089 '!E65</f>
        <v>1480.76</v>
      </c>
      <c r="F65" s="229">
        <f>E65/$E$22*100</f>
        <v>4.153048806653358</v>
      </c>
      <c r="G65" s="221">
        <f>E65-C65</f>
        <v>-131.56999999999994</v>
      </c>
    </row>
    <row r="66" spans="2:6" ht="15.75" thickBot="1">
      <c r="B66" s="228"/>
      <c r="C66" s="229"/>
      <c r="D66" s="229"/>
      <c r="E66" s="229"/>
      <c r="F66" s="229"/>
    </row>
    <row r="67" spans="2:7" ht="15.75" thickBot="1">
      <c r="B67" s="235" t="s">
        <v>129</v>
      </c>
      <c r="C67" s="236">
        <f>C62-C65</f>
        <v>-964.79</v>
      </c>
      <c r="D67" s="236">
        <f>C67/$C$22*100</f>
        <v>-3.3848646426032856</v>
      </c>
      <c r="E67" s="236">
        <f>E62-E65</f>
        <v>880.2100000000112</v>
      </c>
      <c r="F67" s="236">
        <f>E67/$E$22*100</f>
        <v>2.468701943667035</v>
      </c>
      <c r="G67" s="221">
        <f>E67-C67</f>
        <v>1845.0000000000111</v>
      </c>
    </row>
    <row r="68" spans="2:6" ht="15">
      <c r="B68" s="228"/>
      <c r="C68" s="229"/>
      <c r="D68" s="229"/>
      <c r="E68" s="229"/>
      <c r="F68" s="229"/>
    </row>
    <row r="69" spans="2:7" ht="15">
      <c r="B69" s="228" t="s">
        <v>77</v>
      </c>
      <c r="C69" s="229">
        <f>+'GMD 08-09 vs 07-08'!C69+'FCKD 08-09 vs 07-089 '!C69</f>
        <v>1243.85</v>
      </c>
      <c r="D69" s="229">
        <f>C69/$C$22*100</f>
        <v>4.363917417989508</v>
      </c>
      <c r="E69" s="231">
        <f>+'GMD 08-09 vs 07-08'!E69+'FCKD 08-09 vs 07-089 '!E69-0.01</f>
        <v>1223.01</v>
      </c>
      <c r="F69" s="229">
        <f>E69/$E$22*100</f>
        <v>3.4301441293829678</v>
      </c>
      <c r="G69" s="221">
        <f>E69-C69</f>
        <v>-20.839999999999918</v>
      </c>
    </row>
    <row r="70" spans="2:6" ht="15.75" thickBot="1">
      <c r="B70" s="226"/>
      <c r="C70" s="229"/>
      <c r="D70" s="229"/>
      <c r="E70" s="229"/>
      <c r="F70" s="229"/>
    </row>
    <row r="71" spans="2:7" ht="15">
      <c r="B71" s="224" t="s">
        <v>132</v>
      </c>
      <c r="C71" s="237">
        <f>C67-C69</f>
        <v>-2208.64</v>
      </c>
      <c r="D71" s="237">
        <f>C71/$C$22*100</f>
        <v>-7.748782060592793</v>
      </c>
      <c r="E71" s="237">
        <f>E67-E69</f>
        <v>-342.7999999999888</v>
      </c>
      <c r="F71" s="237">
        <f>E71/$E$22*100</f>
        <v>-0.9614421857159328</v>
      </c>
      <c r="G71" s="221">
        <f>E71-C71</f>
        <v>1865.840000000011</v>
      </c>
    </row>
    <row r="72" spans="2:6" ht="15.75" thickBot="1">
      <c r="B72" s="232" t="s">
        <v>223</v>
      </c>
      <c r="C72" s="232"/>
      <c r="D72" s="232"/>
      <c r="E72" s="232"/>
      <c r="F72" s="232"/>
    </row>
    <row r="73" spans="3:6" ht="10.5" customHeight="1">
      <c r="C73" s="219"/>
      <c r="D73" s="219"/>
      <c r="E73" s="219"/>
      <c r="F73" s="219"/>
    </row>
    <row r="74" spans="3:6" ht="15" hidden="1">
      <c r="C74" s="219"/>
      <c r="D74" s="219"/>
      <c r="E74" s="219"/>
      <c r="F74" s="219"/>
    </row>
    <row r="75" spans="2:6" ht="15" hidden="1">
      <c r="B75" s="219" t="s">
        <v>131</v>
      </c>
      <c r="C75" s="220"/>
      <c r="D75" s="220"/>
      <c r="E75" s="220"/>
      <c r="F75" s="220"/>
    </row>
    <row r="76" ht="15" hidden="1"/>
    <row r="77" ht="3.75" customHeight="1" hidden="1"/>
    <row r="78" spans="2:6" ht="15" hidden="1">
      <c r="B78" s="219" t="s">
        <v>132</v>
      </c>
      <c r="C78" s="220"/>
      <c r="D78" s="220"/>
      <c r="E78" s="220"/>
      <c r="F78" s="220"/>
    </row>
    <row r="79" ht="15" hidden="1">
      <c r="B79" s="219" t="s">
        <v>133</v>
      </c>
    </row>
    <row r="80" ht="15" hidden="1"/>
    <row r="81" ht="15" hidden="1"/>
    <row r="82" ht="15" hidden="1"/>
    <row r="83" ht="15" hidden="1"/>
    <row r="84" ht="15" hidden="1">
      <c r="B84" s="219" t="s">
        <v>134</v>
      </c>
    </row>
    <row r="85" spans="2:6" ht="15" hidden="1">
      <c r="B85" s="219" t="s">
        <v>224</v>
      </c>
      <c r="C85" s="270"/>
      <c r="D85" s="270"/>
      <c r="E85" s="270"/>
      <c r="F85" s="270"/>
    </row>
    <row r="86" spans="3:5" ht="10.5" customHeight="1" hidden="1">
      <c r="C86" s="222"/>
      <c r="E86" s="222"/>
    </row>
    <row r="87" spans="2:5" ht="15" hidden="1">
      <c r="B87" s="219" t="s">
        <v>136</v>
      </c>
      <c r="C87" s="222">
        <v>21030.473</v>
      </c>
      <c r="E87" s="222">
        <v>21030.473</v>
      </c>
    </row>
    <row r="88" spans="3:5" ht="15" hidden="1">
      <c r="C88" s="223"/>
      <c r="E88" s="223"/>
    </row>
    <row r="89" spans="3:5" ht="15" hidden="1">
      <c r="C89" s="223"/>
      <c r="E89" s="223"/>
    </row>
    <row r="90" ht="15">
      <c r="B90" s="219"/>
    </row>
  </sheetData>
  <mergeCells count="6">
    <mergeCell ref="C5:D5"/>
    <mergeCell ref="C6:D6"/>
    <mergeCell ref="C85:D85"/>
    <mergeCell ref="E5:F5"/>
    <mergeCell ref="E6:F6"/>
    <mergeCell ref="E85:F85"/>
  </mergeCells>
  <printOptions/>
  <pageMargins left="0.75" right="0.5" top="0.25" bottom="0.25" header="0.5" footer="0.5"/>
  <pageSetup fitToHeight="1" fitToWidth="1" horizontalDpi="180" verticalDpi="18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RBMalgi </dc:creator>
  <cp:keywords/>
  <dc:description/>
  <cp:lastModifiedBy>u</cp:lastModifiedBy>
  <cp:lastPrinted>2009-08-03T11:57:45Z</cp:lastPrinted>
  <dcterms:created xsi:type="dcterms:W3CDTF">2008-10-10T10:06:06Z</dcterms:created>
  <dcterms:modified xsi:type="dcterms:W3CDTF">2009-08-03T12:33:08Z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16393</vt:i4>
  </property>
</Properties>
</file>