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5_0.bin" ContentType="application/vnd.openxmlformats-officedocument.oleObject"/>
  <Override PartName="/xl/embeddings/oleObject_6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720" windowWidth="7770" windowHeight="4710" activeTab="0"/>
  </bookViews>
  <sheets>
    <sheet name="MainSummary" sheetId="1" r:id="rId1"/>
    <sheet name="Publ &amp; BIL&amp;CKLDec03" sheetId="2" state="hidden" r:id="rId2"/>
    <sheet name="Tr-Segment" sheetId="3" state="hidden" r:id="rId3"/>
    <sheet name="Sebiedifar-for BIL&amp;CKL" sheetId="4" state="hidden" r:id="rId4"/>
    <sheet name="SBB" sheetId="5" state="hidden" r:id="rId5"/>
    <sheet name="Sm-ltr" sheetId="6" state="hidden" r:id="rId6"/>
    <sheet name="Bg-ltr" sheetId="7" state="hidden" r:id="rId7"/>
    <sheet name="TaxWiorking" sheetId="8" state="hidden" r:id="rId8"/>
    <sheet name="Treasury" sheetId="9" state="hidden" r:id="rId9"/>
  </sheets>
  <definedNames>
    <definedName name="_Regression_Int">1</definedName>
    <definedName name="Print_Area_MI">#REF!</definedName>
    <definedName name="Z_60678260_6C9A_11D9_B4F1_001109256B3A_.wvu.Cols" localSheetId="0" hidden="1">'MainSummary'!$B:$B</definedName>
    <definedName name="Z_60678260_6C9A_11D9_B4F1_001109256B3A_.wvu.Cols" localSheetId="1" hidden="1">'Publ &amp; BIL&amp;CKLDec03'!$B:$B,'Publ &amp; BIL&amp;CKLDec03'!$E:$S,'Publ &amp; BIL&amp;CKLDec03'!$AI:$AI</definedName>
    <definedName name="Z_60678260_6C9A_11D9_B4F1_001109256B3A_.wvu.Cols" localSheetId="4" hidden="1">'SBB'!$B:$B</definedName>
    <definedName name="Z_60678260_6C9A_11D9_B4F1_001109256B3A_.wvu.Cols" localSheetId="3" hidden="1">'Sebiedifar-for BIL&amp;CKL'!$B:$B,'Sebiedifar-for BIL&amp;CKL'!$I:$I</definedName>
    <definedName name="Z_60678260_6C9A_11D9_B4F1_001109256B3A_.wvu.Cols" localSheetId="8" hidden="1">'Treasury'!$B:$B,'Treasury'!$J:$J</definedName>
    <definedName name="Z_60678260_6C9A_11D9_B4F1_001109256B3A_.wvu.Rows" localSheetId="0" hidden="1">'MainSummary'!$56:$60,'MainSummary'!$107:$107,'MainSummary'!#REF!,'MainSummary'!#REF!</definedName>
    <definedName name="Z_60678260_6C9A_11D9_B4F1_001109256B3A_.wvu.Rows" localSheetId="1" hidden="1">'Publ &amp; BIL&amp;CKLDec03'!$44:$48,'Publ &amp; BIL&amp;CKLDec03'!$94:$94</definedName>
    <definedName name="Z_60678260_6C9A_11D9_B4F1_001109256B3A_.wvu.Rows" localSheetId="4" hidden="1">'SBB'!$64:$68,'SBB'!$115:$115,'SBB'!$121:$125</definedName>
    <definedName name="Z_60678260_6C9A_11D9_B4F1_001109256B3A_.wvu.Rows" localSheetId="8" hidden="1">'Treasury'!$40:$42</definedName>
    <definedName name="Z_89723660_6C99_11D9_8D9B_0011092574E4_.wvu.Cols" localSheetId="0" hidden="1">'MainSummary'!$B:$B</definedName>
    <definedName name="Z_89723660_6C99_11D9_8D9B_0011092574E4_.wvu.Cols" localSheetId="1" hidden="1">'Publ &amp; BIL&amp;CKLDec03'!$B:$B,'Publ &amp; BIL&amp;CKLDec03'!$AI:$AI</definedName>
    <definedName name="Z_89723660_6C99_11D9_8D9B_0011092574E4_.wvu.Cols" localSheetId="4" hidden="1">'SBB'!$B:$B</definedName>
    <definedName name="Z_89723660_6C99_11D9_8D9B_0011092574E4_.wvu.Cols" localSheetId="3" hidden="1">'Sebiedifar-for BIL&amp;CKL'!$B:$B,'Sebiedifar-for BIL&amp;CKL'!$I:$I</definedName>
    <definedName name="Z_89723660_6C99_11D9_8D9B_0011092574E4_.wvu.Cols" localSheetId="8" hidden="1">'Treasury'!$B:$B,'Treasury'!$J:$J</definedName>
    <definedName name="Z_89723660_6C99_11D9_8D9B_0011092574E4_.wvu.Rows" localSheetId="0" hidden="1">'MainSummary'!$56:$60,'MainSummary'!$107:$107,'MainSummary'!#REF!,'MainSummary'!#REF!</definedName>
    <definedName name="Z_89723660_6C99_11D9_8D9B_0011092574E4_.wvu.Rows" localSheetId="1" hidden="1">'Publ &amp; BIL&amp;CKLDec03'!$44:$48,'Publ &amp; BIL&amp;CKLDec03'!$94:$94</definedName>
    <definedName name="Z_89723660_6C99_11D9_8D9B_0011092574E4_.wvu.Rows" localSheetId="4" hidden="1">'SBB'!$64:$68,'SBB'!$115:$115,'SBB'!$121:$125</definedName>
    <definedName name="Z_89723660_6C99_11D9_8D9B_0011092574E4_.wvu.Rows" localSheetId="8" hidden="1">'Treasury'!$40:$42</definedName>
  </definedNames>
  <calcPr fullCalcOnLoad="1"/>
</workbook>
</file>

<file path=xl/comments2.xml><?xml version="1.0" encoding="utf-8"?>
<comments xmlns="http://schemas.openxmlformats.org/spreadsheetml/2006/main">
  <authors>
    <author>Mr. Ajit Gupte</author>
    <author>S.K Salian</author>
  </authors>
  <commentList>
    <comment ref="U27" authorId="0">
      <text>
        <r>
          <rPr>
            <b/>
            <sz val="8"/>
            <rFont val="Tahoma"/>
            <family val="0"/>
          </rPr>
          <t>Mr. Ajit Gupte:</t>
        </r>
        <r>
          <rPr>
            <sz val="8"/>
            <rFont val="Tahoma"/>
            <family val="0"/>
          </rPr>
          <t xml:space="preserve">
VRS figure restated</t>
        </r>
      </text>
    </comment>
    <comment ref="O19" authorId="1">
      <text>
        <r>
          <rPr>
            <b/>
            <sz val="8"/>
            <rFont val="Tahoma"/>
            <family val="0"/>
          </rPr>
          <t>S.K Salian:
According to revised schedule sent by M.Jain Incr/Decr. In Stock is Rs.-214.39.  But as insisted by Dhiren Sept.03 figure should not be changed.</t>
        </r>
      </text>
    </comment>
    <comment ref="O20" authorId="1">
      <text>
        <r>
          <rPr>
            <b/>
            <sz val="8"/>
            <rFont val="Tahoma"/>
            <family val="0"/>
          </rPr>
          <t>S.K Salian:
According to revised schedule sent by M. jain Cons. Of RM is Rs.11.55 but as per Dhiren figures of original should not be changed.</t>
        </r>
      </text>
    </comment>
  </commentList>
</comments>
</file>

<file path=xl/comments3.xml><?xml version="1.0" encoding="utf-8"?>
<comments xmlns="http://schemas.openxmlformats.org/spreadsheetml/2006/main">
  <authors>
    <author>Mr. Ajit Gupte</author>
  </authors>
  <commentList>
    <comment ref="B60" authorId="0">
      <text>
        <r>
          <rPr>
            <b/>
            <sz val="8"/>
            <rFont val="Tahoma"/>
            <family val="0"/>
          </rPr>
          <t>Mr. Ajit Gupte:</t>
        </r>
        <r>
          <rPr>
            <sz val="8"/>
            <rFont val="Tahoma"/>
            <family val="0"/>
          </rPr>
          <t xml:space="preserve">
Incildes Pat.treas Income of Rs.532.16 lakhs
</t>
        </r>
      </text>
    </comment>
    <comment ref="B61" authorId="0">
      <text>
        <r>
          <rPr>
            <b/>
            <sz val="8"/>
            <rFont val="Tahoma"/>
            <family val="0"/>
          </rPr>
          <t>Mr. Ajit Gupte:</t>
        </r>
        <r>
          <rPr>
            <sz val="8"/>
            <rFont val="Tahoma"/>
            <family val="0"/>
          </rPr>
          <t xml:space="preserve">
Includes pat.treasury exps.of Rs.62.10 lakhs
</t>
        </r>
      </text>
    </comment>
    <comment ref="B65" authorId="0">
      <text>
        <r>
          <rPr>
            <b/>
            <sz val="8"/>
            <rFont val="Tahoma"/>
            <family val="0"/>
          </rPr>
          <t>Mr. Ajit Gupte:</t>
        </r>
        <r>
          <rPr>
            <sz val="8"/>
            <rFont val="Tahoma"/>
            <family val="0"/>
          </rPr>
          <t xml:space="preserve">
Includes pat.Treasury Int.income of Rs.841.77 Lakhs
</t>
        </r>
      </text>
    </comment>
  </commentList>
</comments>
</file>

<file path=xl/comments4.xml><?xml version="1.0" encoding="utf-8"?>
<comments xmlns="http://schemas.openxmlformats.org/spreadsheetml/2006/main">
  <authors>
    <author>sks</author>
    <author>HCL</author>
  </authors>
  <commentList>
    <comment ref="C34" authorId="0">
      <text>
        <r>
          <rPr>
            <b/>
            <sz val="8"/>
            <rFont val="Tahoma"/>
            <family val="0"/>
          </rPr>
          <t>sks:</t>
        </r>
        <r>
          <rPr>
            <sz val="8"/>
            <rFont val="Tahoma"/>
            <family val="0"/>
          </rPr>
          <t xml:space="preserve">
VRS Compensation and Other Expenditure</t>
        </r>
      </text>
    </comment>
    <comment ref="C35" authorId="1">
      <text>
        <r>
          <rPr>
            <b/>
            <sz val="8"/>
            <rFont val="Tahoma"/>
            <family val="0"/>
          </rPr>
          <t>HCL:</t>
        </r>
        <r>
          <rPr>
            <sz val="8"/>
            <rFont val="Tahoma"/>
            <family val="0"/>
          </rPr>
          <t xml:space="preserve">
includes VRS+Dim. In the Value of Invst.
</t>
        </r>
      </text>
    </comment>
  </commentList>
</comments>
</file>

<file path=xl/sharedStrings.xml><?xml version="1.0" encoding="utf-8"?>
<sst xmlns="http://schemas.openxmlformats.org/spreadsheetml/2006/main" count="931" uniqueCount="423">
  <si>
    <t>FORBES GOKAK LIMITED</t>
  </si>
  <si>
    <t>Reserves excluding Revaluation Reserve</t>
  </si>
  <si>
    <t>Year</t>
  </si>
  <si>
    <t>Secretary,</t>
  </si>
  <si>
    <t>Dear Sirs,</t>
  </si>
  <si>
    <t>ended</t>
  </si>
  <si>
    <t>(Audited)</t>
  </si>
  <si>
    <t>Less: Provision for Diminution in the value of</t>
  </si>
  <si>
    <t>Less: Provision for Taxation</t>
  </si>
  <si>
    <t>Stock Exchange, Mumbai,</t>
  </si>
  <si>
    <t>Dalal Street,</t>
  </si>
  <si>
    <t>Mumbai - 400 001.</t>
  </si>
  <si>
    <t xml:space="preserve">         a)  Increase/Decrease in Stock in Trade</t>
  </si>
  <si>
    <t>(for 12 months period)</t>
  </si>
  <si>
    <t>Net Sales / Income from Operations</t>
  </si>
  <si>
    <t xml:space="preserve">         d)  Staff Cost</t>
  </si>
  <si>
    <t>(Face Value of Rs.10 each)</t>
  </si>
  <si>
    <t>Other Income</t>
  </si>
  <si>
    <t xml:space="preserve">         e)  Other Expenditure</t>
  </si>
  <si>
    <t xml:space="preserve">         b)  Consumption of Raw Materials</t>
  </si>
  <si>
    <t xml:space="preserve">         c)  Purchase of Trading Stocks</t>
  </si>
  <si>
    <t xml:space="preserve">         Investments, Doubtful Loans and Advances</t>
  </si>
  <si>
    <t xml:space="preserve">         Current</t>
  </si>
  <si>
    <t xml:space="preserve">         Deferred</t>
  </si>
  <si>
    <t>Paid up Equity Share Capital</t>
  </si>
  <si>
    <t>Basic and diluted Earning per Share</t>
  </si>
  <si>
    <t>of face value of Rs.10 each</t>
  </si>
  <si>
    <t>Aggregate of Non-promoter Shareholding</t>
  </si>
  <si>
    <t xml:space="preserve">                                                No. of Shares</t>
  </si>
  <si>
    <t xml:space="preserve">                                                Percentage</t>
  </si>
  <si>
    <r>
      <t xml:space="preserve">         f)  </t>
    </r>
    <r>
      <rPr>
        <b/>
        <sz val="12"/>
        <rFont val="Times New Roman"/>
        <family val="1"/>
      </rPr>
      <t>Sub Total</t>
    </r>
  </si>
  <si>
    <t xml:space="preserve">Segment Revenue :(net sale / income </t>
  </si>
  <si>
    <t>from each segment)</t>
  </si>
  <si>
    <t>(b) Engineering</t>
  </si>
  <si>
    <r>
      <t>Less:</t>
    </r>
    <r>
      <rPr>
        <sz val="12"/>
        <rFont val="Times New Roman"/>
        <family val="1"/>
      </rPr>
      <t xml:space="preserve"> Inter  Segment Revenue</t>
    </r>
  </si>
  <si>
    <t>Tax and interest from each Segment)</t>
  </si>
  <si>
    <t xml:space="preserve">Capital Employed (Segment assets Less </t>
  </si>
  <si>
    <t>Segment Liabilities)</t>
  </si>
  <si>
    <t>Contd …</t>
  </si>
  <si>
    <t>Quarterly Reporting of Segmentwise Revenue, Results &amp; Capital Employed under</t>
  </si>
  <si>
    <t>clause 41 of the Listing Agreement</t>
  </si>
  <si>
    <t xml:space="preserve">     Total</t>
  </si>
  <si>
    <t>Deputy Chairman &amp; Managing Director</t>
  </si>
  <si>
    <t>(K.C. Mehra)</t>
  </si>
  <si>
    <t xml:space="preserve">PHONE  </t>
  </si>
  <si>
    <t>TELEX</t>
  </si>
  <si>
    <t>GRAM</t>
  </si>
  <si>
    <t>:</t>
  </si>
  <si>
    <t xml:space="preserve"> 91-22-2008081</t>
  </si>
  <si>
    <t xml:space="preserve"> 011-85249, 82369</t>
  </si>
  <si>
    <t xml:space="preserve"> STEAMER</t>
  </si>
  <si>
    <t xml:space="preserve">    Charanjit Rai Marg, Fort,</t>
  </si>
  <si>
    <t xml:space="preserve">    Mumbai - 400 001.</t>
  </si>
  <si>
    <t xml:space="preserve">    Forbes Building,</t>
  </si>
  <si>
    <r>
      <t>Less:</t>
    </r>
    <r>
      <rPr>
        <sz val="12"/>
        <rFont val="Times New Roman"/>
        <family val="1"/>
      </rPr>
      <t xml:space="preserve">  Interest (Net)</t>
    </r>
  </si>
  <si>
    <t xml:space="preserve">   Registered &amp; Head Office :</t>
  </si>
  <si>
    <t>Particulars</t>
  </si>
  <si>
    <t>Total Expenditure</t>
  </si>
  <si>
    <t>Interest (Net)</t>
  </si>
  <si>
    <t>Voluntary Retirement Compensation Amortised</t>
  </si>
  <si>
    <t>Balance (8-9)</t>
  </si>
  <si>
    <t>Net Profit/Loss (12-13)</t>
  </si>
  <si>
    <t>Compliance with the requirements of Clause 41 of the Listing Agreement -</t>
  </si>
  <si>
    <t xml:space="preserve">Provision for Diminution in the value of </t>
  </si>
  <si>
    <t>Investments no longer required written back</t>
  </si>
  <si>
    <t>Total Income (1+2+3)</t>
  </si>
  <si>
    <t>Amount</t>
  </si>
  <si>
    <t>Depreciation</t>
  </si>
  <si>
    <t>Profit/(Loss) before Tax (10-11)</t>
  </si>
  <si>
    <r>
      <t>Registered Office</t>
    </r>
    <r>
      <rPr>
        <b/>
        <sz val="9"/>
        <color indexed="48"/>
        <rFont val="Arial Narrow"/>
        <family val="2"/>
      </rPr>
      <t xml:space="preserve"> :</t>
    </r>
    <r>
      <rPr>
        <sz val="8"/>
        <color indexed="48"/>
        <rFont val="Arial Narrow"/>
        <family val="2"/>
      </rPr>
      <t xml:space="preserve">  Forbes Building, Charanjit Rai Marg, Fort, Mumbai - 400 001.</t>
    </r>
  </si>
  <si>
    <t>Profit / Loss before Depreciation (4-5-6-7)</t>
  </si>
  <si>
    <t>Forbes Gokak Limited</t>
  </si>
  <si>
    <t>30.09.2002</t>
  </si>
  <si>
    <t>(for 6 months period)</t>
  </si>
  <si>
    <t>PBT</t>
  </si>
  <si>
    <t>Half Year</t>
  </si>
  <si>
    <t>TOTAL</t>
  </si>
  <si>
    <t xml:space="preserve">            For Forbes Gokak Limited</t>
  </si>
  <si>
    <t xml:space="preserve">NOTES: </t>
  </si>
  <si>
    <t>30.09.2003</t>
  </si>
  <si>
    <t>31.03.2003</t>
  </si>
  <si>
    <t>(Rs. in Lakhs)</t>
  </si>
  <si>
    <t>30.06.2002</t>
  </si>
  <si>
    <t>(Rs.in Lakhs)</t>
  </si>
  <si>
    <t>(Rs. In Lakhs)</t>
  </si>
  <si>
    <t>Others</t>
  </si>
  <si>
    <t>Total</t>
  </si>
  <si>
    <t>Impact of Audit qualifications on the</t>
  </si>
  <si>
    <t>Details</t>
  </si>
  <si>
    <t>Rs.Lakhs</t>
  </si>
  <si>
    <t>INCOME</t>
  </si>
  <si>
    <r>
      <t xml:space="preserve">Financial results of </t>
    </r>
    <r>
      <rPr>
        <b/>
        <sz val="12"/>
        <rFont val="Times New Roman"/>
        <family val="1"/>
      </rPr>
      <t>Forbes Treasury</t>
    </r>
    <r>
      <rPr>
        <sz val="12"/>
        <rFont val="Times New Roman"/>
        <family val="1"/>
      </rPr>
      <t xml:space="preserve"> for the Half Year ended 30th September, 2003. </t>
    </r>
  </si>
  <si>
    <r>
      <t xml:space="preserve">Company:  </t>
    </r>
    <r>
      <rPr>
        <b/>
        <sz val="14"/>
        <color indexed="8"/>
        <rFont val="Times New Roman"/>
        <family val="1"/>
      </rPr>
      <t>Forbes Gokak Ltd</t>
    </r>
    <r>
      <rPr>
        <sz val="14"/>
        <color indexed="8"/>
        <rFont val="Times New Roman"/>
        <family val="1"/>
      </rPr>
      <t>.</t>
    </r>
  </si>
  <si>
    <t>Year:</t>
  </si>
  <si>
    <t>Quarter Ending Month:</t>
  </si>
  <si>
    <t>Year to date</t>
  </si>
  <si>
    <t>figures for</t>
  </si>
  <si>
    <t>previous year</t>
  </si>
  <si>
    <t>S.No.</t>
  </si>
  <si>
    <t>Result Type</t>
  </si>
  <si>
    <t>Unaudited</t>
  </si>
  <si>
    <t>1.</t>
  </si>
  <si>
    <t>2.</t>
  </si>
  <si>
    <t>3.</t>
  </si>
  <si>
    <t>4.</t>
  </si>
  <si>
    <t>5.</t>
  </si>
  <si>
    <t>6.</t>
  </si>
  <si>
    <t xml:space="preserve">Profit before tax </t>
  </si>
  <si>
    <t>7.</t>
  </si>
  <si>
    <t>Provision for tax</t>
  </si>
  <si>
    <t>8.</t>
  </si>
  <si>
    <t>Net Profit</t>
  </si>
  <si>
    <t>9.</t>
  </si>
  <si>
    <t>Paid up equity share capital</t>
  </si>
  <si>
    <t>10.</t>
  </si>
  <si>
    <t>Reserves excluding revaluation reserve</t>
  </si>
  <si>
    <t>11.</t>
  </si>
  <si>
    <t>Earnings per share basic                  Rs.</t>
  </si>
  <si>
    <t>12.</t>
  </si>
  <si>
    <t>Earnings per share diluted                Rs.</t>
  </si>
  <si>
    <t>Expenditure Head</t>
  </si>
  <si>
    <t>(Increase)/decrease in stock in trade</t>
  </si>
  <si>
    <t>Consumption of raw material</t>
  </si>
  <si>
    <t>Purchase of Trading Stocks</t>
  </si>
  <si>
    <t>Staff cost</t>
  </si>
  <si>
    <t>Other expenditure</t>
  </si>
  <si>
    <t>Extraordinary items</t>
  </si>
  <si>
    <t>clause 41 of Listing Agreement</t>
  </si>
  <si>
    <t>Name of Segment</t>
  </si>
  <si>
    <t xml:space="preserve">Segment Revenue (Sales &amp; Income </t>
  </si>
  <si>
    <t>from Services)</t>
  </si>
  <si>
    <t>Less: Inter Segment Revenue</t>
  </si>
  <si>
    <t>Net Sales/Income from Operations</t>
  </si>
  <si>
    <t xml:space="preserve">Segment Result (Profit before </t>
  </si>
  <si>
    <t>Interest &amp; Tax)</t>
  </si>
  <si>
    <t>Total Segment Result</t>
  </si>
  <si>
    <t>Less: Interest Expense</t>
  </si>
  <si>
    <t>Total Profit Before Tax</t>
  </si>
  <si>
    <t xml:space="preserve">Capital Employed (Segment assets </t>
  </si>
  <si>
    <t>less Segment liabilities</t>
  </si>
  <si>
    <t>Total Capital Employed in Segments</t>
  </si>
  <si>
    <t>Working of Tax Provision for nine months ended 31.12.2003</t>
  </si>
  <si>
    <t>Base - Advance Tax Working - 3rd Instalment</t>
  </si>
  <si>
    <t xml:space="preserve">PBT </t>
  </si>
  <si>
    <t>Less Dividend Income</t>
  </si>
  <si>
    <t>Tax  payable</t>
  </si>
  <si>
    <t>PBT (Excl.Div.Income)</t>
  </si>
  <si>
    <t>Effective Rate</t>
  </si>
  <si>
    <t>As per Adv.Tax</t>
  </si>
  <si>
    <t>As per Draft Accounts</t>
  </si>
  <si>
    <t>Tax  payable @ 39.17%</t>
  </si>
  <si>
    <t>Say</t>
  </si>
  <si>
    <t>Note:</t>
  </si>
  <si>
    <t>Total …</t>
  </si>
  <si>
    <t>Oth. expenditure (as per sebiedifar)</t>
  </si>
  <si>
    <t>31.03.2004</t>
  </si>
  <si>
    <t>(Unaudited)</t>
  </si>
  <si>
    <t>Mar.31-2004</t>
  </si>
  <si>
    <t xml:space="preserve">Profit or Loss                                             </t>
  </si>
  <si>
    <t xml:space="preserve">Impact of the  non-provision  will  depend  </t>
  </si>
  <si>
    <t xml:space="preserve">upon the outcome of  proceedings  being  </t>
  </si>
  <si>
    <t xml:space="preserve">persued by the Company and is </t>
  </si>
  <si>
    <t>indeterminate at the present.</t>
  </si>
  <si>
    <t>Voluntary Retirement Compensation Charged /</t>
  </si>
  <si>
    <t>Bradma</t>
  </si>
  <si>
    <t>CKL</t>
  </si>
  <si>
    <t>(d) Logistics Services</t>
  </si>
  <si>
    <t>(c) Business Automation</t>
  </si>
  <si>
    <t>(a) Textile</t>
  </si>
  <si>
    <t xml:space="preserve">     respect of sale of </t>
  </si>
  <si>
    <t xml:space="preserve">     Chandivali property.</t>
  </si>
  <si>
    <t>Textile</t>
  </si>
  <si>
    <t>Engineering</t>
  </si>
  <si>
    <t>Less: Prior Period Items - Gratuity</t>
  </si>
  <si>
    <t>Add : Prior Period Items - Depreciation</t>
  </si>
  <si>
    <t xml:space="preserve">Quarter </t>
  </si>
  <si>
    <t>(for 3 months   period)</t>
  </si>
  <si>
    <t>The Current status and the relevant  explanations  for  the same are set out below :-</t>
  </si>
  <si>
    <t>a)  Amounts receivable in</t>
  </si>
  <si>
    <t>amounts in respect of Bradma of India Limited and Campbell Knitwear Limited , which have been</t>
  </si>
  <si>
    <t xml:space="preserve">b) Excise demand in </t>
  </si>
  <si>
    <t xml:space="preserve">     respect of  Business</t>
  </si>
  <si>
    <t xml:space="preserve">     Automation Division</t>
  </si>
  <si>
    <t>Provision for impairment loss, if any, as required under the Accounting Standard 28 on impairment of Assets issued by</t>
  </si>
  <si>
    <t xml:space="preserve">In the audit report for  the  year ended  31st March, 2004,  the  auditors  had  referred to  (a)  Sale of Property, and </t>
  </si>
  <si>
    <t>(b) an excise demand in respect of Bradma Business Automation Division.</t>
  </si>
  <si>
    <t xml:space="preserve">Not </t>
  </si>
  <si>
    <t>ascertained</t>
  </si>
  <si>
    <t>year against opening balance of General Reserve.</t>
  </si>
  <si>
    <t xml:space="preserve">the Institute of Chartered Accountants of India, applicable from 01.04.2004, will be made at the end of the financial </t>
  </si>
  <si>
    <t>Profit/(Loss)  before Tax (13-14)</t>
  </si>
  <si>
    <t>Net Profit/(Loss) (15-16)</t>
  </si>
  <si>
    <t xml:space="preserve">   Amortised </t>
  </si>
  <si>
    <t xml:space="preserve">                                   (for the year)</t>
  </si>
  <si>
    <t xml:space="preserve">The above results were reveiwed  by the Audit Committee and approved by the Board of Directors of the Company at </t>
  </si>
  <si>
    <t>3 Months</t>
  </si>
  <si>
    <t>Business Automation</t>
  </si>
  <si>
    <t xml:space="preserve">amalgamated with the Company and are therefore not comparable with those of the quarter ended </t>
  </si>
  <si>
    <t>(e) Others</t>
  </si>
  <si>
    <t>These Financial results have been subjected to a "Limited review" by the Statutory Auditors of the Company.</t>
  </si>
  <si>
    <t>(e) Investments</t>
  </si>
  <si>
    <t>In terms of our report of even date attached.</t>
  </si>
  <si>
    <t>CHARTERED ACCOUNTANTS</t>
  </si>
  <si>
    <t xml:space="preserve">(f) Unallocated </t>
  </si>
  <si>
    <t>Profit  before Depreciation, Prior Period Items and Provision for Diminution (4-5-6-7)</t>
  </si>
  <si>
    <t>Profit /(Loss) before Prior Period Items and Provision for Diminution (8-9)</t>
  </si>
  <si>
    <t>Profit /(Loss) before Provision for Diminution (10-11+12)</t>
  </si>
  <si>
    <t xml:space="preserve">Segment Results (Profit /(Loss) before </t>
  </si>
  <si>
    <t>Profit /(Loss) before Tax</t>
  </si>
  <si>
    <t>TREASURY DIVISION</t>
  </si>
  <si>
    <t>GENERAL</t>
  </si>
  <si>
    <t>OTHERS</t>
  </si>
  <si>
    <t>GRAND</t>
  </si>
  <si>
    <t>BLDG.</t>
  </si>
  <si>
    <t>AGENCY</t>
  </si>
  <si>
    <t>I &amp; S</t>
  </si>
  <si>
    <t>OPTICS</t>
  </si>
  <si>
    <t>PARTICULARS</t>
  </si>
  <si>
    <t>3 = 1+ 2</t>
  </si>
  <si>
    <t>7 = 2+4+5+6</t>
  </si>
  <si>
    <t xml:space="preserve">8 = 1 + 7 </t>
  </si>
  <si>
    <t>PBIT</t>
  </si>
  <si>
    <t>PROFIT &amp; LOSS ACCOUNTS - 12 Months ended  31ST MARCH-2004 ( AUDITED)</t>
  </si>
  <si>
    <t>Unallocated</t>
  </si>
  <si>
    <t>30.09.2004</t>
  </si>
  <si>
    <t>Half  Year</t>
  </si>
  <si>
    <t xml:space="preserve">         a)  (Increase) / Decrease in Stock in Trade</t>
  </si>
  <si>
    <t>(for 6 months   period)</t>
  </si>
  <si>
    <t>Accounts for the quarter ended 30.09.2004 (col.1), and for the year ended 31.03.2004 (col 3) includes</t>
  </si>
  <si>
    <t>30.09.2003.</t>
  </si>
  <si>
    <t xml:space="preserve">Phiroze Jeejeebhoy Towers, </t>
  </si>
  <si>
    <t>Mumbai, 28th October, 2004</t>
  </si>
  <si>
    <t>Quarter</t>
  </si>
  <si>
    <t>30.06.2004</t>
  </si>
  <si>
    <t>Quarter ended 30.09.03</t>
  </si>
  <si>
    <t>Quarter ended 30.06.03</t>
  </si>
  <si>
    <t>Half Year ended 30.09.03</t>
  </si>
  <si>
    <t>PROFIT &amp; LOSS ACCOUNTS - 6 Months ended  30th September-2003</t>
  </si>
  <si>
    <t>Less :EXPENSES</t>
  </si>
  <si>
    <t>Less: DEPR.</t>
  </si>
  <si>
    <t>Less : INTEREST</t>
  </si>
  <si>
    <t>(incl.Pat.Tr.)</t>
  </si>
  <si>
    <t xml:space="preserve">Company holds 60% paid-up share capital of its Subsidiary, Eureka Forbes Ltd.(EFL). The Board of Directors of the </t>
  </si>
  <si>
    <t xml:space="preserve">Company has approved an arrangement to purchase balance 40% of the share capital of EFL from AB Electrolux, Sweden, </t>
  </si>
  <si>
    <t xml:space="preserve">A ship owned by the Company was in dry dock as at 30th June, 2004 which has since been completed. The Company has </t>
  </si>
  <si>
    <t>2004 and the same have been resolved to the satisfaction of the Shareholders.</t>
  </si>
  <si>
    <t>as at date). Out of the above Rs.587 lakhs has been added to the cost of the ship and an amount of Rs.264 lakhs has been</t>
  </si>
  <si>
    <t>pending as at 30th September, 2004.  The Company  has received 7 complaints  during the quarter ended 30th September,</t>
  </si>
  <si>
    <t>their meeting held on 28th October, 2004.</t>
  </si>
  <si>
    <t xml:space="preserve">Less: Prior Period Items - </t>
  </si>
  <si>
    <t xml:space="preserve">                                                                                                                                                                     </t>
  </si>
  <si>
    <t>BIL</t>
  </si>
  <si>
    <t xml:space="preserve"> Sept., 30</t>
  </si>
  <si>
    <t>Sept.30-2004</t>
  </si>
  <si>
    <t>Corresponding</t>
  </si>
  <si>
    <t>3 months in the</t>
  </si>
  <si>
    <t>Sept.30-2003</t>
  </si>
  <si>
    <t>current period</t>
  </si>
  <si>
    <t xml:space="preserve">Previous </t>
  </si>
  <si>
    <t xml:space="preserve">         e)  Other Expenditure (See Note 8)</t>
  </si>
  <si>
    <t>Other Income (See note 7)</t>
  </si>
  <si>
    <t>Published</t>
  </si>
  <si>
    <r>
      <t>Less:</t>
    </r>
    <r>
      <rPr>
        <i/>
        <sz val="12"/>
        <rFont val="Times New Roman"/>
        <family val="1"/>
      </rPr>
      <t xml:space="preserve"> Inter  Segment Revenue</t>
    </r>
  </si>
  <si>
    <r>
      <t>Less:</t>
    </r>
    <r>
      <rPr>
        <i/>
        <sz val="12"/>
        <rFont val="Times New Roman"/>
        <family val="1"/>
      </rPr>
      <t xml:space="preserve">  Interest (Net)</t>
    </r>
  </si>
  <si>
    <r>
      <t>Add:</t>
    </r>
    <r>
      <rPr>
        <i/>
        <sz val="12"/>
        <rFont val="Times New Roman"/>
        <family val="1"/>
      </rPr>
      <t xml:space="preserve"> Unallocated Income net of Unallocated Expenditure</t>
    </r>
  </si>
  <si>
    <t>Profit  before Depreciation, Prior Period Items, Provision for Diminution / Taxation (4-5-6-7)</t>
  </si>
  <si>
    <t>Interest cost shown in item 6 above is net after deducting interest income Rs.34.45  Lakhs for the quarter ended 30th September,</t>
  </si>
  <si>
    <r>
      <t>2004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</t>
    </r>
    <r>
      <rPr>
        <i/>
        <sz val="12"/>
        <rFont val="Times New Roman"/>
        <family val="1"/>
      </rPr>
      <t>corresponding  previous  quarter  Rs.19.70 Lakhs</t>
    </r>
    <r>
      <rPr>
        <sz val="12"/>
        <rFont val="Times New Roman"/>
        <family val="1"/>
      </rPr>
      <t>);  Rs.80.95 Lakhs  for  the  half year  ended 30th September , 2004.</t>
    </r>
  </si>
  <si>
    <r>
      <t>(corresponding  previous  period Rs. 53.97 Lakhs</t>
    </r>
    <r>
      <rPr>
        <sz val="12"/>
        <rFont val="Times New Roman"/>
        <family val="1"/>
      </rPr>
      <t>); and  Rs.130.57 Lakhs  for  the  year  ended 31st March, 2004.</t>
    </r>
  </si>
  <si>
    <t>Profit before Prior Period Items, Provision for Diminution / Taxation (8-9)</t>
  </si>
  <si>
    <t>Profit before Tax (13-14)</t>
  </si>
  <si>
    <t>Profit before Provision for Diminution/Taxation (10-11+12)</t>
  </si>
  <si>
    <t xml:space="preserve">Segment Revenue :(net sales / income </t>
  </si>
  <si>
    <t>Profit before Tax</t>
  </si>
  <si>
    <t>Segment Results (Profit before Tax and</t>
  </si>
  <si>
    <t>interest from each Segment)</t>
  </si>
  <si>
    <t>considered as repairs and such cost has been proposed to be charged in the accounts of the Company for year ending</t>
  </si>
  <si>
    <t xml:space="preserve">31st March, 2005 pro-rata every month from July 2004 to March 2005 i.e. Rs.29 lakhs p.m. Accordingly an aggregate cost </t>
  </si>
  <si>
    <r>
      <t>Add/(Less):</t>
    </r>
    <r>
      <rPr>
        <sz val="12"/>
        <rFont val="Times New Roman"/>
        <family val="1"/>
      </rPr>
      <t xml:space="preserve"> Unallocated Income (net of Unallocated Expenditure)</t>
    </r>
  </si>
  <si>
    <t xml:space="preserve">of Rs. 88 lakhs has been charged in the period upto 30.09.2004 and balance amount of Rs.176 lakhs would be charged </t>
  </si>
  <si>
    <r>
      <t>(</t>
    </r>
    <r>
      <rPr>
        <i/>
        <sz val="12"/>
        <rFont val="Times New Roman"/>
        <family val="1"/>
      </rPr>
      <t>corresponding previous quarter Rs.Nil</t>
    </r>
    <r>
      <rPr>
        <sz val="12"/>
        <rFont val="Times New Roman"/>
        <family val="1"/>
      </rPr>
      <t>); Rs.80.31 Lakhs for the half year ended 30th September, 2004 (</t>
    </r>
    <r>
      <rPr>
        <i/>
        <sz val="12"/>
        <rFont val="Times New Roman"/>
        <family val="1"/>
      </rPr>
      <t>corrresponding</t>
    </r>
  </si>
  <si>
    <r>
      <t>previous  quarter  Rs.Nil</t>
    </r>
    <r>
      <rPr>
        <sz val="12"/>
        <rFont val="Times New Roman"/>
        <family val="1"/>
      </rPr>
      <t>);  Rs.84.74 Lakhs  for  the  half year  ended 30th September, 2004 (</t>
    </r>
    <r>
      <rPr>
        <i/>
        <sz val="12"/>
        <rFont val="Times New Roman"/>
        <family val="1"/>
      </rPr>
      <t>corresponding previous</t>
    </r>
  </si>
  <si>
    <r>
      <t>previous  period Rs.Nil</t>
    </r>
    <r>
      <rPr>
        <sz val="12"/>
        <rFont val="Times New Roman"/>
        <family val="1"/>
      </rPr>
      <t>); and  Rs.Nil  for  the  year  ended 31st March, 2004 being loss (net) on switchover/sale of Mutual</t>
    </r>
  </si>
  <si>
    <t>Fund and other Long Term Investments.</t>
  </si>
  <si>
    <r>
      <t>Other Income shown in item 3 above includes Rs.36.50  Lakhs for the quarter ended 30th September, 2004 (</t>
    </r>
    <r>
      <rPr>
        <i/>
        <sz val="12"/>
        <rFont val="Times New Roman"/>
        <family val="1"/>
      </rPr>
      <t>corresponding</t>
    </r>
  </si>
  <si>
    <t>Other Expenditure shown in item 5(e) above includes Rs.80.31  Lakhs for the quarter ended 30th September, 2004</t>
  </si>
  <si>
    <t>year</t>
  </si>
  <si>
    <t>accounting</t>
  </si>
  <si>
    <t>Logistics Services</t>
  </si>
  <si>
    <t>net off un-allocated expenditure</t>
  </si>
  <si>
    <t>Add: Other un-allocated income</t>
  </si>
  <si>
    <t xml:space="preserve">         Wealth tax</t>
  </si>
  <si>
    <t xml:space="preserve">   Amortised (See Note 10)</t>
  </si>
  <si>
    <t>Other Income (See Note 7)</t>
  </si>
  <si>
    <r>
      <t>period Rs.Nil</t>
    </r>
    <r>
      <rPr>
        <sz val="12"/>
        <rFont val="Times New Roman"/>
        <family val="1"/>
      </rPr>
      <t>); and  Rs.Nil  for  the  year  ended 31st March, 2004 being one time compensation received for a rented Property.</t>
    </r>
  </si>
  <si>
    <t>incurred total cost of Rs.851 lakhs (net of Rs.34 lakhs insurance claim as approved by the adjustor of the insurance company</t>
  </si>
  <si>
    <t>in the remaining  six  months of  the current  accounting  year ending 31st March 2005.</t>
  </si>
  <si>
    <t>Based on the orders received from the</t>
  </si>
  <si>
    <t xml:space="preserve">         e)  Other Expenditure (See Notes 8 and 9)</t>
  </si>
  <si>
    <t>Previous period's / year's  figures have been regrouped wherever necessary.  Figures for the corresponding previous period</t>
  </si>
  <si>
    <t>effective from 1st April 2003 and hence differ from those published earlier.</t>
  </si>
  <si>
    <t>for an amount of Rs.52.42 crores. In addition, Aquamall Water Solutions Ltd. (wholly owned subsidiary of EFL) will obtain</t>
  </si>
  <si>
    <t xml:space="preserve">a permanent assignment of trade name "Aquaguard" for an amount of Rs.17.04 crores and EFL will obtain a licence for a </t>
  </si>
  <si>
    <t xml:space="preserve">period of 5 years plus two options of 1 year each to use name Eureka as a part of Corporate name for an amount of </t>
  </si>
  <si>
    <t>Interest (Net) (See Note 6)</t>
  </si>
  <si>
    <t>Net Profit (15-16)</t>
  </si>
  <si>
    <t>Forbes Sterling Star Ltd., Singapore.  Further, the Company has invested Rs.51 lakhs to subscribe for 51% of the paid-up</t>
  </si>
  <si>
    <t>capital of Forbes Abans Water Cleaning  Solutions (Pvt.) Ltd., which has become subsidiary of the Company.</t>
  </si>
  <si>
    <t xml:space="preserve">         Income-tax-Deferred</t>
  </si>
  <si>
    <t xml:space="preserve">         Income-tax-Current </t>
  </si>
  <si>
    <t>authorities for other years, the Company</t>
  </si>
  <si>
    <t>not materialise.</t>
  </si>
  <si>
    <t>expects that a liability in respect of this will</t>
  </si>
  <si>
    <t>During the current half year, the Company has invested Rs.0.45 Lakhs in the Equity Capital of its wholly owned subsidiary,</t>
  </si>
  <si>
    <t>include amounts in respect of the Bradma and Campbell Knitwear Divisions, which have been amalgamated with the Company</t>
  </si>
  <si>
    <t>Profit before Provision for Diminution/Taxation           (10-11+12)</t>
  </si>
  <si>
    <t>Segment wise Revenue, Result and Capital Employed as on half year ending 30th Sept., 2004 as per</t>
  </si>
  <si>
    <t>There were no pending Shareholders complaints as on 1st July, 2004, other than the 5 pending Court cases, which  remain</t>
  </si>
  <si>
    <t>US$ 50,000 p.a. Subject to necessary approvals, the transaction is expected to be completed within next 2 - 3 months.</t>
  </si>
  <si>
    <t>Voluntary Compensation amortised includes an amount of Rs.99.41 lakhs for the quarter ended 30th September, 2003 and</t>
  </si>
  <si>
    <t>Rs.201.22 lakhs for the half year ended 30th September, 2003, which was adjusted against Share Premium Account as per</t>
  </si>
  <si>
    <t>High Court Order dated 16th December, 2003.</t>
  </si>
  <si>
    <t>31.12.2004</t>
  </si>
  <si>
    <t>31.12.2003</t>
  </si>
  <si>
    <t>Nine Months</t>
  </si>
  <si>
    <t>PROFIT &amp; LOSS ACCOUNTS - 9 Months ended  31st December - 2004</t>
  </si>
  <si>
    <t xml:space="preserve">PROFIT &amp; LOSS ACCOUNTS - 6 Months ended  30th September - 2004 </t>
  </si>
  <si>
    <t>PROFIT &amp; LOSS ACCOUNTS - 3 Months ended  Oct. 04 to Dec.04</t>
  </si>
  <si>
    <t>PROFIT &amp; LOSS ACCOUNTS - 9 Months ended  31st December-2003</t>
  </si>
  <si>
    <t>PROFIT &amp; LOSS ACCOUNTS - 3 Months ended  Oct. 03 to Dec.03</t>
  </si>
  <si>
    <t>half  year</t>
  </si>
  <si>
    <t>FGL</t>
  </si>
  <si>
    <t xml:space="preserve">         Income-tax-Current</t>
  </si>
  <si>
    <t xml:space="preserve">         income-tax-Deferred</t>
  </si>
  <si>
    <t>(for 9 months   period)</t>
  </si>
  <si>
    <t>Unaudited Financial Results for the quarter and nine months ended 31st December, 2003</t>
  </si>
  <si>
    <t>CONTRA</t>
  </si>
  <si>
    <t>NET</t>
  </si>
  <si>
    <t xml:space="preserve">         a)  Increase in Stock in Trade</t>
  </si>
  <si>
    <t>Financial Results for the year ended 31st March, 2005</t>
  </si>
  <si>
    <t xml:space="preserve">We set out the audited financial results for the Year ended 31st March, 2005. </t>
  </si>
  <si>
    <t>31.03.2005</t>
  </si>
  <si>
    <t>Previous</t>
  </si>
  <si>
    <t xml:space="preserve">                        (for the year)</t>
  </si>
  <si>
    <t xml:space="preserve">Unudited </t>
  </si>
  <si>
    <t xml:space="preserve">Audited </t>
  </si>
  <si>
    <t>Figures for</t>
  </si>
  <si>
    <t>the Current</t>
  </si>
  <si>
    <t>the Previous</t>
  </si>
  <si>
    <t>(Unudited)</t>
  </si>
  <si>
    <t>Total Income (1+2)</t>
  </si>
  <si>
    <t>Profit / Loss before Depreciation (3-4-5-6)</t>
  </si>
  <si>
    <t>Balance (7-8)</t>
  </si>
  <si>
    <t>Balance (9-10)</t>
  </si>
  <si>
    <t>Add: Prior Period Items - Depreciation</t>
  </si>
  <si>
    <t>Balance (11-12+13)</t>
  </si>
  <si>
    <t>Less/Add: Diminution in the value of Investments,</t>
  </si>
  <si>
    <t xml:space="preserve">                 Doubtful Loans and Advances - provided</t>
  </si>
  <si>
    <t>Profit/(Loss) before Tax (14-15)</t>
  </si>
  <si>
    <t>Net Profit/Loss (16-17)</t>
  </si>
  <si>
    <t>Share of Income in Associates</t>
  </si>
  <si>
    <t>Minority Interest in net income of subsidiaries</t>
  </si>
  <si>
    <t>Profit after Minority Interest</t>
  </si>
  <si>
    <t xml:space="preserve">We set out the unaudited Consolidated financial results for the Year ended 31st March, 2005. </t>
  </si>
  <si>
    <t>Notes on Consolidated Financial Results for the year ended 31st March 2005.</t>
  </si>
  <si>
    <t>Mumbai, 21st  June, 2005</t>
  </si>
  <si>
    <t>Impairment of Assets</t>
  </si>
  <si>
    <t>The above has been prepared in accordance with the applicable Accounting Standards.</t>
  </si>
  <si>
    <t xml:space="preserve">As several subsidiaries and other entities have been added to the Consolidation for the year, figures for the current year are not </t>
  </si>
  <si>
    <t xml:space="preserve">comparable with those of the previous year. </t>
  </si>
  <si>
    <t>The above results were taken on record by the Board of Directors of the Company at their meeting held on 21st June, 2005.</t>
  </si>
  <si>
    <t>01.04.04 to 31.03.05</t>
  </si>
  <si>
    <t>01.04.03 to 31.03.04</t>
  </si>
  <si>
    <t>Less: Prior Period Items - Gratuity/Others</t>
  </si>
  <si>
    <t>Interest (Net) (See Note 5)</t>
  </si>
  <si>
    <t xml:space="preserve">   Amortised</t>
  </si>
  <si>
    <t>(c) Forbes Bradma Automation</t>
  </si>
  <si>
    <t xml:space="preserve">                                                             FORBES GOKAK LIMITED</t>
  </si>
  <si>
    <t xml:space="preserve">                        Registered Office: Forbes Building, Charanjit Rai Marg, Fort, Mumbai 400 001</t>
  </si>
  <si>
    <t>NOTES:</t>
  </si>
  <si>
    <t xml:space="preserve">During the current period the Company invested Rs. 13.05 Lakhs and </t>
  </si>
  <si>
    <t>Rs. 240.60 Lakhs in the Equity Capital of Forbes Doris &amp; Naess Maritime Ltd</t>
  </si>
  <si>
    <t>Companies have become subsidiaries of the Company.</t>
  </si>
  <si>
    <t xml:space="preserve">and Next Gen Publishing Ltd., respectively.    With this both these  </t>
  </si>
  <si>
    <t xml:space="preserve">The Company held 29,70,000 shares ( 60 % of paid up share capital ) of       Eureka </t>
  </si>
  <si>
    <t>of Eureka Forbes Ltd. On 4th January,2005 the Company acquired further</t>
  </si>
  <si>
    <t xml:space="preserve">11,80,000 shares and the Company's wholly owned subsidiary, Forbes </t>
  </si>
  <si>
    <t>Euro Forbes International Pte Ltd., Singapore has become subsidiary</t>
  </si>
  <si>
    <t>of the Company by the reason of being subsidiary of Eureka Forbes Ltd.,</t>
  </si>
  <si>
    <t>which is subsidiary of the Company.</t>
  </si>
  <si>
    <t>In the audit report for the year ended 31st March,2005, the auditors</t>
  </si>
  <si>
    <t>have referred to "Sale of Property"</t>
  </si>
  <si>
    <t xml:space="preserve">The current status and the relevant explanations for the same is </t>
  </si>
  <si>
    <t>set out below-</t>
  </si>
  <si>
    <t xml:space="preserve">                                                                                           Amount</t>
  </si>
  <si>
    <t>Details                                                                           Rs. Lakhs</t>
  </si>
  <si>
    <t xml:space="preserve">Impact of </t>
  </si>
  <si>
    <t>Audit  qualifica</t>
  </si>
  <si>
    <t>tions on the  Profit or Loss</t>
  </si>
  <si>
    <t xml:space="preserve">Impact of the non-provision will depend upon the outcome of proceedings </t>
  </si>
  <si>
    <t>pursued by the Company and is indeterminate at present.</t>
  </si>
  <si>
    <t>Amount receivable in respect of sale of a property               847.50</t>
  </si>
  <si>
    <t xml:space="preserve">Interest cost  shown in item 6 above is net   after   deducting  interest </t>
  </si>
  <si>
    <t xml:space="preserve">income Rs. 93.24 Lakhs for the quarter ended  31st March,2005 </t>
  </si>
  <si>
    <t xml:space="preserve">( corresponding previous quarter Rs.45.07 lakhs) ; Rs. 214.10 Lakhs </t>
  </si>
  <si>
    <t>for the year ended 31st March,2005 ( corresponding previous year ended</t>
  </si>
  <si>
    <t>31st March,2004  Rs. 130.57 Lakhs)</t>
  </si>
  <si>
    <t>The above results were reviewed by the Audit Committee and approve</t>
  </si>
  <si>
    <t>by the Board of Directors of the Company at their meeting held on 21st June,2005</t>
  </si>
  <si>
    <t xml:space="preserve">The Board of Directors of the Company at their meeting held on </t>
  </si>
  <si>
    <t>21st June,2005 have approved proposal of Amalgamation of FAL Industries Ltd ( FAL )</t>
  </si>
  <si>
    <t>Chennai with the Company, subject to provisions of Companies Act,</t>
  </si>
  <si>
    <t xml:space="preserve">1956 and approval of the shareholders of the Company  and other approval as may be </t>
  </si>
  <si>
    <t>The Company has received 18 complaints during  the quarter ended 31st March,2005 and the same have been resolved to the satisfaction of the Shareholders.</t>
  </si>
  <si>
    <t xml:space="preserve">Dividend : The Board of Directors of the Company has recommended a dividend of 50 % ( Previous year 40 % ) for consideration of shareholders at the </t>
  </si>
  <si>
    <t xml:space="preserve">Annual General Meeting scheduled to be held on 24th August,2005. Share Transfer Books of the Company  will remain closed from 17th August,2005 </t>
  </si>
  <si>
    <t>to 24th August,2005 for the purpose of the dividend and the dividend will be paid to the shareholders whose name appear on the register of members</t>
  </si>
  <si>
    <t>on 24th August,2005.</t>
  </si>
  <si>
    <t xml:space="preserve">Finance Ltd., has acquired 8,00,000 shares of Eureka Forbes Ltd.  </t>
  </si>
  <si>
    <t>Eureka Forbes Ltd. has become a wholly  owned    subsidiary  of  the</t>
  </si>
  <si>
    <t>Company.</t>
  </si>
  <si>
    <t>necessary, the proposed exchange ratio is 1 (one) shares of Forbes Gokak Ltd for 7 ( seven) shares of FAL Industries Ltd.</t>
  </si>
  <si>
    <t>There were no pending Shareholders complaints as on 1st January,2005 other than 5 pending court cases, which remain pending as at 31st March,2005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</si>
</sst>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"/>
    <numFmt numFmtId="174" formatCode="0.0000"/>
    <numFmt numFmtId="175" formatCode="#,##0;[Red]#,##0"/>
    <numFmt numFmtId="176" formatCode="#,##0.000_);\(#,##0.000\)"/>
    <numFmt numFmtId="177" formatCode="#,##0.0_);\(#,##0.0\)"/>
    <numFmt numFmtId="178" formatCode="0.00_);\(0.00\)"/>
    <numFmt numFmtId="179" formatCode="0_);\(0\)"/>
    <numFmt numFmtId="180" formatCode="0.0%"/>
    <numFmt numFmtId="181" formatCode="0.0_);\(0.0\)"/>
    <numFmt numFmtId="182" formatCode="_(* #,##0.000_);_(* \(#,##0.000\);_(* &quot;-&quot;??_);_(@_)"/>
    <numFmt numFmtId="183" formatCode="_(* #,##0.0000_);_(* \(#,##0.0000\);_(* &quot;-&quot;??_);_(@_)"/>
    <numFmt numFmtId="184" formatCode="_(* #,##0.00000_);_(* \(#,##0.00000\);_(* &quot;-&quot;??_);_(@_)"/>
    <numFmt numFmtId="185" formatCode="_(* #,##0.0_);_(* \(#,##0.0\);_(* &quot;-&quot;??_);_(@_)"/>
    <numFmt numFmtId="186" formatCode="_(* #,##0_);_(* \(#,##0\);_(* &quot;-&quot;??_);_(@_)"/>
    <numFmt numFmtId="187" formatCode="mm/dd/yy"/>
    <numFmt numFmtId="188" formatCode="##&quot;,&quot;###.00;\(##&quot;,&quot;###.00\)"/>
    <numFmt numFmtId="189" formatCode="##&quot;,&quot;##&quot;,&quot;##&quot;,&quot;###;\(##&quot;,&quot;##&quot;,&quot;##&quot;,&quot;###\)"/>
    <numFmt numFmtId="190" formatCode="##&quot;,&quot;##&quot;,&quot;###;\(##&quot;,&quot;##&quot;,&quot;###\)"/>
    <numFmt numFmtId="191" formatCode="##&quot;,&quot;###;\(##&quot;,&quot;###\)"/>
    <numFmt numFmtId="192" formatCode="0.000000000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mmmm\ d\,\ yyyy"/>
    <numFmt numFmtId="197" formatCode="0.00000"/>
    <numFmt numFmtId="198" formatCode="##&quot;,&quot;##&quot;,&quot;###.00;\(##&quot;,&quot;##&quot;,&quot;###.00\)"/>
    <numFmt numFmtId="199" formatCode="###.00;\(###.00\)"/>
    <numFmt numFmtId="200" formatCode="###;\(###\)"/>
    <numFmt numFmtId="201" formatCode="##&quot;,&quot;##&quot;,&quot;##&quot;,&quot;###.00;\(##&quot;,&quot;##&quot;,&quot;##&quot;,&quot;###.00\)"/>
    <numFmt numFmtId="202" formatCode="##.0&quot;,&quot;##&quot;,&quot;##&quot;,&quot;###;\(##.0&quot;,&quot;##&quot;,&quot;##&quot;,&quot;###\)"/>
  </numFmts>
  <fonts count="99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6"/>
      <name val="Times New Roman"/>
      <family val="1"/>
    </font>
    <font>
      <b/>
      <sz val="16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u val="single"/>
      <sz val="10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7"/>
      <name val="Helv"/>
      <family val="0"/>
    </font>
    <font>
      <b/>
      <sz val="7"/>
      <color indexed="56"/>
      <name val="Arial"/>
      <family val="2"/>
    </font>
    <font>
      <sz val="7"/>
      <color indexed="56"/>
      <name val="Helv"/>
      <family val="0"/>
    </font>
    <font>
      <sz val="7"/>
      <color indexed="56"/>
      <name val="Arial"/>
      <family val="2"/>
    </font>
    <font>
      <b/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8"/>
      <color indexed="56"/>
      <name val="Arial"/>
      <family val="2"/>
    </font>
    <font>
      <sz val="8"/>
      <name val="Helv"/>
      <family val="0"/>
    </font>
    <font>
      <sz val="8"/>
      <color indexed="56"/>
      <name val="Arial"/>
      <family val="2"/>
    </font>
    <font>
      <sz val="8"/>
      <color indexed="56"/>
      <name val="Helv"/>
      <family val="0"/>
    </font>
    <font>
      <b/>
      <i/>
      <sz val="10"/>
      <color indexed="8"/>
      <name val="Times New Roman"/>
      <family val="1"/>
    </font>
    <font>
      <sz val="8"/>
      <color indexed="48"/>
      <name val="Arial Narrow"/>
      <family val="2"/>
    </font>
    <font>
      <b/>
      <i/>
      <sz val="9"/>
      <color indexed="48"/>
      <name val="Arial Narrow"/>
      <family val="2"/>
    </font>
    <font>
      <b/>
      <sz val="9"/>
      <color indexed="48"/>
      <name val="Arial Narrow"/>
      <family val="2"/>
    </font>
    <font>
      <b/>
      <sz val="14"/>
      <name val="Times New Roman"/>
      <family val="1"/>
    </font>
    <font>
      <sz val="12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12"/>
      <name val="Helv"/>
      <family val="0"/>
    </font>
    <font>
      <b/>
      <i/>
      <sz val="11"/>
      <name val="Times New Roman"/>
      <family val="1"/>
    </font>
    <font>
      <sz val="12"/>
      <color indexed="10"/>
      <name val="Helv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23"/>
      <name val="Times New Roman"/>
      <family val="1"/>
    </font>
    <font>
      <b/>
      <u val="single"/>
      <sz val="12"/>
      <name val="Arial"/>
      <family val="2"/>
    </font>
    <font>
      <i/>
      <sz val="7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0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i/>
      <u val="single"/>
      <sz val="12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i/>
      <sz val="8"/>
      <color indexed="10"/>
      <name val="Times New Roman"/>
      <family val="1"/>
    </font>
    <font>
      <i/>
      <sz val="10"/>
      <color indexed="10"/>
      <name val="Times New Roman"/>
      <family val="1"/>
    </font>
    <font>
      <i/>
      <sz val="12"/>
      <name val="Helv"/>
      <family val="0"/>
    </font>
    <font>
      <i/>
      <sz val="12"/>
      <color indexed="10"/>
      <name val="Helv"/>
      <family val="0"/>
    </font>
    <font>
      <b/>
      <i/>
      <sz val="12"/>
      <color indexed="23"/>
      <name val="Times New Roman"/>
      <family val="1"/>
    </font>
    <font>
      <sz val="12"/>
      <color indexed="12"/>
      <name val="Times New Roman"/>
      <family val="1"/>
    </font>
    <font>
      <b/>
      <i/>
      <sz val="10"/>
      <color indexed="12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b/>
      <i/>
      <u val="single"/>
      <sz val="12"/>
      <color indexed="12"/>
      <name val="Times New Roman"/>
      <family val="1"/>
    </font>
    <font>
      <b/>
      <i/>
      <sz val="11"/>
      <color indexed="12"/>
      <name val="Times New Roman"/>
      <family val="1"/>
    </font>
    <font>
      <i/>
      <sz val="12"/>
      <color indexed="12"/>
      <name val="Helv"/>
      <family val="0"/>
    </font>
    <font>
      <i/>
      <sz val="7"/>
      <color indexed="12"/>
      <name val="Times New Roman"/>
      <family val="1"/>
    </font>
    <font>
      <b/>
      <i/>
      <u val="single"/>
      <sz val="12"/>
      <color indexed="10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"/>
      <family val="1"/>
    </font>
    <font>
      <b/>
      <i/>
      <u val="single"/>
      <sz val="12"/>
      <color indexed="16"/>
      <name val="Times New Roman"/>
      <family val="1"/>
    </font>
    <font>
      <i/>
      <sz val="7"/>
      <name val="Times New Roman"/>
      <family val="1"/>
    </font>
    <font>
      <i/>
      <sz val="12"/>
      <color indexed="16"/>
      <name val="Helv"/>
      <family val="0"/>
    </font>
    <font>
      <i/>
      <sz val="7"/>
      <color indexed="10"/>
      <name val="Times New Roman"/>
      <family val="1"/>
    </font>
    <font>
      <b/>
      <i/>
      <sz val="8"/>
      <name val="Times New Roman"/>
      <family val="1"/>
    </font>
    <font>
      <b/>
      <i/>
      <sz val="10"/>
      <color indexed="23"/>
      <name val="Times New Roman"/>
      <family val="1"/>
    </font>
    <font>
      <i/>
      <sz val="7"/>
      <color indexed="23"/>
      <name val="Times New Roman"/>
      <family val="1"/>
    </font>
    <font>
      <i/>
      <sz val="12"/>
      <color indexed="23"/>
      <name val="Times New Roman"/>
      <family val="1"/>
    </font>
    <font>
      <b/>
      <i/>
      <u val="single"/>
      <sz val="12"/>
      <color indexed="23"/>
      <name val="Times New Roman"/>
      <family val="1"/>
    </font>
    <font>
      <b/>
      <i/>
      <sz val="7"/>
      <color indexed="16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color indexed="8"/>
      <name val="Times New Roman"/>
      <family val="1"/>
    </font>
    <font>
      <b/>
      <u val="single"/>
      <sz val="12"/>
      <name val="Helv"/>
      <family val="0"/>
    </font>
    <font>
      <sz val="11"/>
      <name val="Helv"/>
      <family val="0"/>
    </font>
    <font>
      <b/>
      <sz val="8"/>
      <name val="Helv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950">
    <xf numFmtId="0" fontId="0" fillId="0" borderId="0" xfId="0" applyAlignment="1">
      <alignment/>
    </xf>
    <xf numFmtId="178" fontId="5" fillId="0" borderId="0" xfId="0" applyNumberFormat="1" applyFont="1" applyAlignment="1">
      <alignment horizontal="centerContinuous" vertical="center"/>
    </xf>
    <xf numFmtId="178" fontId="7" fillId="0" borderId="0" xfId="0" applyNumberFormat="1" applyFont="1" applyAlignment="1">
      <alignment vertical="center"/>
    </xf>
    <xf numFmtId="178" fontId="6" fillId="0" borderId="0" xfId="0" applyNumberFormat="1" applyFont="1" applyBorder="1" applyAlignment="1">
      <alignment horizontal="center" vertical="center"/>
    </xf>
    <xf numFmtId="178" fontId="5" fillId="0" borderId="0" xfId="0" applyNumberFormat="1" applyFont="1" applyAlignment="1">
      <alignment vertical="center"/>
    </xf>
    <xf numFmtId="178" fontId="6" fillId="0" borderId="0" xfId="0" applyNumberFormat="1" applyFont="1" applyAlignment="1">
      <alignment vertical="center"/>
    </xf>
    <xf numFmtId="178" fontId="9" fillId="0" borderId="0" xfId="0" applyNumberFormat="1" applyFont="1" applyAlignment="1">
      <alignment vertical="center"/>
    </xf>
    <xf numFmtId="178" fontId="6" fillId="0" borderId="0" xfId="0" applyNumberFormat="1" applyFont="1" applyAlignment="1">
      <alignment horizontal="left" vertical="center"/>
    </xf>
    <xf numFmtId="178" fontId="7" fillId="2" borderId="0" xfId="0" applyNumberFormat="1" applyFont="1" applyFill="1" applyBorder="1" applyAlignment="1">
      <alignment vertical="center"/>
    </xf>
    <xf numFmtId="178" fontId="6" fillId="0" borderId="0" xfId="0" applyNumberFormat="1" applyFont="1" applyBorder="1" applyAlignment="1">
      <alignment vertical="center"/>
    </xf>
    <xf numFmtId="178" fontId="10" fillId="0" borderId="0" xfId="0" applyNumberFormat="1" applyFont="1" applyAlignment="1">
      <alignment vertical="center"/>
    </xf>
    <xf numFmtId="178" fontId="11" fillId="0" borderId="0" xfId="0" applyNumberFormat="1" applyFont="1" applyAlignment="1">
      <alignment vertical="center"/>
    </xf>
    <xf numFmtId="178" fontId="13" fillId="0" borderId="0" xfId="0" applyNumberFormat="1" applyFont="1" applyAlignment="1">
      <alignment horizontal="centerContinuous" vertical="center"/>
    </xf>
    <xf numFmtId="178" fontId="13" fillId="0" borderId="0" xfId="0" applyNumberFormat="1" applyFont="1" applyAlignment="1">
      <alignment vertical="center"/>
    </xf>
    <xf numFmtId="178" fontId="5" fillId="0" borderId="0" xfId="0" applyNumberFormat="1" applyFont="1" applyBorder="1" applyAlignment="1">
      <alignment vertical="center"/>
    </xf>
    <xf numFmtId="179" fontId="12" fillId="0" borderId="0" xfId="0" applyNumberFormat="1" applyFont="1" applyAlignment="1">
      <alignment horizontal="centerContinuous" vertical="center"/>
    </xf>
    <xf numFmtId="179" fontId="6" fillId="0" borderId="0" xfId="0" applyNumberFormat="1" applyFont="1" applyAlignment="1">
      <alignment horizontal="centerContinuous" vertical="center"/>
    </xf>
    <xf numFmtId="179" fontId="5" fillId="0" borderId="0" xfId="0" applyNumberFormat="1" applyFont="1" applyAlignment="1">
      <alignment vertical="center"/>
    </xf>
    <xf numFmtId="179" fontId="10" fillId="0" borderId="0" xfId="0" applyNumberFormat="1" applyFont="1" applyAlignment="1">
      <alignment vertical="center"/>
    </xf>
    <xf numFmtId="179" fontId="5" fillId="0" borderId="0" xfId="0" applyNumberFormat="1" applyFont="1" applyBorder="1" applyAlignment="1">
      <alignment vertical="center"/>
    </xf>
    <xf numFmtId="178" fontId="9" fillId="0" borderId="0" xfId="0" applyNumberFormat="1" applyFont="1" applyBorder="1" applyAlignment="1">
      <alignment vertical="center"/>
    </xf>
    <xf numFmtId="178" fontId="16" fillId="0" borderId="0" xfId="0" applyNumberFormat="1" applyFont="1" applyBorder="1" applyAlignment="1">
      <alignment vertical="center"/>
    </xf>
    <xf numFmtId="178" fontId="18" fillId="0" borderId="0" xfId="0" applyNumberFormat="1" applyFont="1" applyAlignment="1">
      <alignment horizontal="right" vertical="center"/>
    </xf>
    <xf numFmtId="179" fontId="19" fillId="0" borderId="0" xfId="0" applyNumberFormat="1" applyFont="1" applyAlignment="1" quotePrefix="1">
      <alignment horizontal="center" vertical="center"/>
    </xf>
    <xf numFmtId="179" fontId="20" fillId="0" borderId="0" xfId="0" applyNumberFormat="1" applyFont="1" applyAlignment="1">
      <alignment vertical="center"/>
    </xf>
    <xf numFmtId="179" fontId="16" fillId="0" borderId="0" xfId="0" applyNumberFormat="1" applyFont="1" applyAlignment="1">
      <alignment vertical="center"/>
    </xf>
    <xf numFmtId="178" fontId="23" fillId="0" borderId="0" xfId="0" applyNumberFormat="1" applyFont="1" applyAlignment="1">
      <alignment vertical="center"/>
    </xf>
    <xf numFmtId="178" fontId="26" fillId="0" borderId="0" xfId="0" applyNumberFormat="1" applyFont="1" applyAlignment="1">
      <alignment vertical="center"/>
    </xf>
    <xf numFmtId="178" fontId="27" fillId="0" borderId="0" xfId="0" applyNumberFormat="1" applyFont="1" applyAlignment="1">
      <alignment vertical="center"/>
    </xf>
    <xf numFmtId="179" fontId="6" fillId="0" borderId="0" xfId="0" applyNumberFormat="1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8" fontId="10" fillId="0" borderId="0" xfId="0" applyNumberFormat="1" applyFont="1" applyBorder="1" applyAlignment="1">
      <alignment vertical="center"/>
    </xf>
    <xf numFmtId="178" fontId="17" fillId="2" borderId="0" xfId="0" applyNumberFormat="1" applyFont="1" applyFill="1" applyBorder="1" applyAlignment="1">
      <alignment horizontal="center" vertical="center"/>
    </xf>
    <xf numFmtId="178" fontId="17" fillId="0" borderId="0" xfId="0" applyNumberFormat="1" applyFont="1" applyBorder="1" applyAlignment="1">
      <alignment horizontal="center" vertical="center"/>
    </xf>
    <xf numFmtId="178" fontId="8" fillId="2" borderId="0" xfId="0" applyNumberFormat="1" applyFont="1" applyFill="1" applyBorder="1" applyAlignment="1">
      <alignment vertical="center"/>
    </xf>
    <xf numFmtId="10" fontId="7" fillId="0" borderId="0" xfId="21" applyNumberFormat="1" applyFont="1" applyAlignment="1">
      <alignment horizontal="right" vertical="center" wrapText="1" shrinkToFit="1"/>
    </xf>
    <xf numFmtId="10" fontId="6" fillId="0" borderId="0" xfId="21" applyNumberFormat="1" applyFont="1" applyAlignment="1">
      <alignment horizontal="right" vertical="center" wrapText="1" shrinkToFit="1"/>
    </xf>
    <xf numFmtId="0" fontId="5" fillId="0" borderId="0" xfId="0" applyNumberFormat="1" applyFont="1" applyBorder="1" applyAlignment="1">
      <alignment vertical="center"/>
    </xf>
    <xf numFmtId="178" fontId="19" fillId="0" borderId="0" xfId="0" applyNumberFormat="1" applyFont="1" applyAlignment="1">
      <alignment vertical="center"/>
    </xf>
    <xf numFmtId="10" fontId="29" fillId="0" borderId="0" xfId="21" applyNumberFormat="1" applyFont="1" applyAlignment="1">
      <alignment horizontal="right" vertical="center" wrapText="1" shrinkToFit="1"/>
    </xf>
    <xf numFmtId="10" fontId="17" fillId="0" borderId="0" xfId="21" applyNumberFormat="1" applyFont="1" applyAlignment="1">
      <alignment horizontal="right" vertical="center" wrapText="1" shrinkToFit="1"/>
    </xf>
    <xf numFmtId="0" fontId="5" fillId="0" borderId="0" xfId="0" applyFont="1" applyBorder="1" applyAlignment="1">
      <alignment/>
    </xf>
    <xf numFmtId="178" fontId="5" fillId="0" borderId="0" xfId="0" applyNumberFormat="1" applyFont="1" applyBorder="1" applyAlignment="1">
      <alignment/>
    </xf>
    <xf numFmtId="178" fontId="6" fillId="0" borderId="0" xfId="0" applyNumberFormat="1" applyFont="1" applyAlignment="1">
      <alignment/>
    </xf>
    <xf numFmtId="178" fontId="6" fillId="0" borderId="1" xfId="0" applyNumberFormat="1" applyFont="1" applyBorder="1" applyAlignment="1">
      <alignment/>
    </xf>
    <xf numFmtId="178" fontId="0" fillId="0" borderId="0" xfId="0" applyNumberFormat="1" applyAlignment="1">
      <alignment/>
    </xf>
    <xf numFmtId="0" fontId="0" fillId="0" borderId="2" xfId="0" applyBorder="1" applyAlignment="1">
      <alignment/>
    </xf>
    <xf numFmtId="178" fontId="0" fillId="0" borderId="2" xfId="0" applyNumberFormat="1" applyBorder="1" applyAlignment="1">
      <alignment/>
    </xf>
    <xf numFmtId="10" fontId="17" fillId="0" borderId="2" xfId="21" applyNumberFormat="1" applyFont="1" applyBorder="1" applyAlignment="1">
      <alignment horizontal="right" vertical="center" wrapText="1" shrinkToFi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3" fillId="0" borderId="0" xfId="0" applyFont="1" applyAlignment="1">
      <alignment/>
    </xf>
    <xf numFmtId="0" fontId="32" fillId="0" borderId="0" xfId="0" applyFont="1" applyAlignment="1">
      <alignment/>
    </xf>
    <xf numFmtId="10" fontId="7" fillId="0" borderId="0" xfId="21" applyNumberFormat="1" applyFont="1" applyBorder="1" applyAlignment="1">
      <alignment horizontal="right" vertical="center" wrapText="1" shrinkToFit="1"/>
    </xf>
    <xf numFmtId="179" fontId="5" fillId="0" borderId="3" xfId="0" applyNumberFormat="1" applyFont="1" applyBorder="1" applyAlignment="1">
      <alignment vertical="center"/>
    </xf>
    <xf numFmtId="178" fontId="5" fillId="0" borderId="4" xfId="0" applyNumberFormat="1" applyFont="1" applyBorder="1" applyAlignment="1">
      <alignment vertical="center"/>
    </xf>
    <xf numFmtId="179" fontId="34" fillId="0" borderId="4" xfId="0" applyNumberFormat="1" applyFont="1" applyBorder="1" applyAlignment="1">
      <alignment horizontal="center" vertical="center"/>
    </xf>
    <xf numFmtId="179" fontId="5" fillId="0" borderId="5" xfId="0" applyNumberFormat="1" applyFont="1" applyBorder="1" applyAlignment="1">
      <alignment vertical="center"/>
    </xf>
    <xf numFmtId="178" fontId="15" fillId="0" borderId="0" xfId="0" applyNumberFormat="1" applyFont="1" applyBorder="1" applyAlignment="1">
      <alignment vertical="center"/>
    </xf>
    <xf numFmtId="178" fontId="28" fillId="0" borderId="0" xfId="0" applyNumberFormat="1" applyFont="1" applyBorder="1" applyAlignment="1">
      <alignment vertical="center"/>
    </xf>
    <xf numFmtId="179" fontId="5" fillId="0" borderId="6" xfId="0" applyNumberFormat="1" applyFont="1" applyBorder="1" applyAlignment="1">
      <alignment vertical="center"/>
    </xf>
    <xf numFmtId="178" fontId="5" fillId="0" borderId="7" xfId="0" applyNumberFormat="1" applyFont="1" applyBorder="1" applyAlignment="1">
      <alignment vertical="center"/>
    </xf>
    <xf numFmtId="179" fontId="34" fillId="0" borderId="8" xfId="0" applyNumberFormat="1" applyFont="1" applyBorder="1" applyAlignment="1">
      <alignment horizontal="center" vertical="center"/>
    </xf>
    <xf numFmtId="178" fontId="15" fillId="0" borderId="9" xfId="0" applyNumberFormat="1" applyFont="1" applyBorder="1" applyAlignment="1">
      <alignment horizontal="center" vertical="center"/>
    </xf>
    <xf numFmtId="178" fontId="17" fillId="2" borderId="9" xfId="0" applyNumberFormat="1" applyFont="1" applyFill="1" applyBorder="1" applyAlignment="1">
      <alignment horizontal="center" vertical="center"/>
    </xf>
    <xf numFmtId="178" fontId="17" fillId="0" borderId="9" xfId="0" applyNumberFormat="1" applyFont="1" applyBorder="1" applyAlignment="1">
      <alignment horizontal="center" vertical="center"/>
    </xf>
    <xf numFmtId="178" fontId="10" fillId="0" borderId="4" xfId="0" applyNumberFormat="1" applyFont="1" applyBorder="1" applyAlignment="1">
      <alignment vertical="center"/>
    </xf>
    <xf numFmtId="179" fontId="5" fillId="0" borderId="5" xfId="0" applyNumberFormat="1" applyFont="1" applyBorder="1" applyAlignment="1" quotePrefix="1">
      <alignment horizontal="center" vertical="center"/>
    </xf>
    <xf numFmtId="179" fontId="19" fillId="0" borderId="5" xfId="0" applyNumberFormat="1" applyFont="1" applyBorder="1" applyAlignment="1" quotePrefix="1">
      <alignment horizontal="center" vertical="center"/>
    </xf>
    <xf numFmtId="178" fontId="23" fillId="0" borderId="0" xfId="0" applyNumberFormat="1" applyFont="1" applyBorder="1" applyAlignment="1">
      <alignment vertical="center"/>
    </xf>
    <xf numFmtId="178" fontId="11" fillId="0" borderId="0" xfId="0" applyNumberFormat="1" applyFont="1" applyBorder="1" applyAlignment="1">
      <alignment vertical="center"/>
    </xf>
    <xf numFmtId="186" fontId="11" fillId="0" borderId="0" xfId="15" applyNumberFormat="1" applyFont="1" applyBorder="1" applyAlignment="1">
      <alignment vertical="center"/>
    </xf>
    <xf numFmtId="186" fontId="10" fillId="0" borderId="0" xfId="15" applyNumberFormat="1" applyFont="1" applyBorder="1" applyAlignment="1">
      <alignment vertical="center"/>
    </xf>
    <xf numFmtId="179" fontId="19" fillId="0" borderId="6" xfId="0" applyNumberFormat="1" applyFont="1" applyBorder="1" applyAlignment="1" quotePrefix="1">
      <alignment horizontal="center" vertical="center"/>
    </xf>
    <xf numFmtId="178" fontId="10" fillId="0" borderId="7" xfId="0" applyNumberFormat="1" applyFont="1" applyBorder="1" applyAlignment="1">
      <alignment vertical="center"/>
    </xf>
    <xf numFmtId="178" fontId="11" fillId="0" borderId="7" xfId="0" applyNumberFormat="1" applyFont="1" applyBorder="1" applyAlignment="1">
      <alignment vertical="center"/>
    </xf>
    <xf numFmtId="178" fontId="23" fillId="0" borderId="9" xfId="0" applyNumberFormat="1" applyFont="1" applyBorder="1" applyAlignment="1">
      <alignment vertical="center"/>
    </xf>
    <xf numFmtId="178" fontId="21" fillId="0" borderId="9" xfId="0" applyNumberFormat="1" applyFont="1" applyBorder="1" applyAlignment="1">
      <alignment horizontal="right" vertical="center" wrapText="1" shrinkToFit="1"/>
    </xf>
    <xf numFmtId="178" fontId="24" fillId="0" borderId="9" xfId="0" applyNumberFormat="1" applyFont="1" applyBorder="1" applyAlignment="1">
      <alignment vertical="center"/>
    </xf>
    <xf numFmtId="178" fontId="22" fillId="0" borderId="9" xfId="0" applyNumberFormat="1" applyFont="1" applyBorder="1" applyAlignment="1">
      <alignment horizontal="right" vertical="center" wrapText="1" shrinkToFit="1"/>
    </xf>
    <xf numFmtId="186" fontId="7" fillId="0" borderId="9" xfId="15" applyNumberFormat="1" applyFont="1" applyBorder="1" applyAlignment="1">
      <alignment horizontal="right" vertical="center" wrapText="1" shrinkToFit="1"/>
    </xf>
    <xf numFmtId="10" fontId="7" fillId="0" borderId="10" xfId="21" applyNumberFormat="1" applyFont="1" applyBorder="1" applyAlignment="1">
      <alignment horizontal="right" vertical="center" wrapText="1" shrinkToFit="1"/>
    </xf>
    <xf numFmtId="178" fontId="10" fillId="0" borderId="0" xfId="0" applyNumberFormat="1" applyFont="1" applyAlignment="1">
      <alignment/>
    </xf>
    <xf numFmtId="178" fontId="9" fillId="0" borderId="0" xfId="0" applyNumberFormat="1" applyFont="1" applyAlignment="1">
      <alignment/>
    </xf>
    <xf numFmtId="178" fontId="35" fillId="0" borderId="8" xfId="0" applyNumberFormat="1" applyFont="1" applyBorder="1" applyAlignment="1">
      <alignment horizontal="center" vertical="center"/>
    </xf>
    <xf numFmtId="10" fontId="6" fillId="0" borderId="10" xfId="21" applyNumberFormat="1" applyFont="1" applyBorder="1" applyAlignment="1">
      <alignment horizontal="right" vertical="center" wrapText="1" shrinkToFit="1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10" fontId="38" fillId="0" borderId="0" xfId="21" applyNumberFormat="1" applyFont="1" applyAlignment="1">
      <alignment horizontal="right" vertical="center" wrapText="1" shrinkToFit="1"/>
    </xf>
    <xf numFmtId="0" fontId="38" fillId="0" borderId="0" xfId="0" applyFont="1" applyAlignment="1">
      <alignment vertical="center"/>
    </xf>
    <xf numFmtId="178" fontId="38" fillId="0" borderId="0" xfId="0" applyNumberFormat="1" applyFont="1" applyAlignment="1">
      <alignment vertical="center"/>
    </xf>
    <xf numFmtId="178" fontId="40" fillId="0" borderId="10" xfId="0" applyNumberFormat="1" applyFont="1" applyBorder="1" applyAlignment="1">
      <alignment horizontal="center" vertical="center"/>
    </xf>
    <xf numFmtId="179" fontId="34" fillId="0" borderId="0" xfId="0" applyNumberFormat="1" applyFont="1" applyBorder="1" applyAlignment="1">
      <alignment horizontal="center" vertical="center"/>
    </xf>
    <xf numFmtId="178" fontId="14" fillId="0" borderId="0" xfId="0" applyNumberFormat="1" applyFont="1" applyBorder="1" applyAlignment="1">
      <alignment horizontal="left" vertical="center"/>
    </xf>
    <xf numFmtId="178" fontId="20" fillId="0" borderId="0" xfId="0" applyNumberFormat="1" applyFont="1" applyBorder="1" applyAlignment="1">
      <alignment vertical="center"/>
    </xf>
    <xf numFmtId="178" fontId="5" fillId="0" borderId="4" xfId="0" applyNumberFormat="1" applyFont="1" applyBorder="1" applyAlignment="1">
      <alignment horizontal="left" vertical="center"/>
    </xf>
    <xf numFmtId="178" fontId="6" fillId="0" borderId="0" xfId="0" applyNumberFormat="1" applyFont="1" applyBorder="1" applyAlignment="1">
      <alignment horizontal="left" vertical="center"/>
    </xf>
    <xf numFmtId="178" fontId="5" fillId="0" borderId="0" xfId="0" applyNumberFormat="1" applyFont="1" applyBorder="1" applyAlignment="1">
      <alignment horizontal="left" vertical="center"/>
    </xf>
    <xf numFmtId="179" fontId="6" fillId="0" borderId="0" xfId="0" applyNumberFormat="1" applyFont="1" applyBorder="1" applyAlignment="1">
      <alignment vertical="center"/>
    </xf>
    <xf numFmtId="178" fontId="23" fillId="0" borderId="7" xfId="0" applyNumberFormat="1" applyFont="1" applyBorder="1" applyAlignment="1">
      <alignment vertical="center"/>
    </xf>
    <xf numFmtId="186" fontId="6" fillId="0" borderId="9" xfId="15" applyNumberFormat="1" applyFont="1" applyBorder="1" applyAlignment="1">
      <alignment horizontal="right" vertical="center" wrapText="1" shrinkToFit="1"/>
    </xf>
    <xf numFmtId="179" fontId="40" fillId="0" borderId="8" xfId="0" applyNumberFormat="1" applyFont="1" applyBorder="1" applyAlignment="1">
      <alignment horizontal="center" vertical="center"/>
    </xf>
    <xf numFmtId="0" fontId="48" fillId="0" borderId="0" xfId="0" applyFont="1" applyAlignment="1">
      <alignment/>
    </xf>
    <xf numFmtId="178" fontId="15" fillId="2" borderId="9" xfId="0" applyNumberFormat="1" applyFont="1" applyFill="1" applyBorder="1" applyAlignment="1">
      <alignment horizontal="center" vertical="center"/>
    </xf>
    <xf numFmtId="178" fontId="34" fillId="0" borderId="10" xfId="0" applyNumberFormat="1" applyFont="1" applyBorder="1" applyAlignment="1">
      <alignment horizontal="center" vertical="center"/>
    </xf>
    <xf numFmtId="10" fontId="49" fillId="0" borderId="0" xfId="21" applyNumberFormat="1" applyFont="1" applyAlignment="1">
      <alignment horizontal="right" vertical="center" wrapText="1" shrinkToFit="1"/>
    </xf>
    <xf numFmtId="178" fontId="0" fillId="0" borderId="0" xfId="0" applyNumberFormat="1" applyAlignment="1">
      <alignment vertical="center"/>
    </xf>
    <xf numFmtId="0" fontId="45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43" fontId="6" fillId="2" borderId="9" xfId="15" applyFont="1" applyFill="1" applyBorder="1" applyAlignment="1">
      <alignment vertical="center"/>
    </xf>
    <xf numFmtId="43" fontId="5" fillId="0" borderId="0" xfId="15" applyFont="1" applyBorder="1" applyAlignment="1">
      <alignment vertical="center"/>
    </xf>
    <xf numFmtId="43" fontId="7" fillId="2" borderId="9" xfId="15" applyFont="1" applyFill="1" applyBorder="1" applyAlignment="1">
      <alignment vertical="center"/>
    </xf>
    <xf numFmtId="43" fontId="10" fillId="0" borderId="0" xfId="15" applyFont="1" applyBorder="1" applyAlignment="1">
      <alignment vertical="center"/>
    </xf>
    <xf numFmtId="43" fontId="7" fillId="0" borderId="0" xfId="15" applyFont="1" applyBorder="1" applyAlignment="1">
      <alignment vertical="center"/>
    </xf>
    <xf numFmtId="43" fontId="5" fillId="2" borderId="9" xfId="15" applyFont="1" applyFill="1" applyBorder="1" applyAlignment="1">
      <alignment vertical="center"/>
    </xf>
    <xf numFmtId="43" fontId="8" fillId="2" borderId="9" xfId="15" applyFont="1" applyFill="1" applyBorder="1" applyAlignment="1">
      <alignment vertical="center"/>
    </xf>
    <xf numFmtId="43" fontId="8" fillId="0" borderId="0" xfId="15" applyFont="1" applyBorder="1" applyAlignment="1">
      <alignment vertical="center"/>
    </xf>
    <xf numFmtId="43" fontId="5" fillId="2" borderId="11" xfId="15" applyFont="1" applyFill="1" applyBorder="1" applyAlignment="1">
      <alignment vertical="center"/>
    </xf>
    <xf numFmtId="43" fontId="8" fillId="2" borderId="11" xfId="15" applyFont="1" applyFill="1" applyBorder="1" applyAlignment="1">
      <alignment vertical="center"/>
    </xf>
    <xf numFmtId="43" fontId="6" fillId="2" borderId="12" xfId="15" applyFont="1" applyFill="1" applyBorder="1" applyAlignment="1">
      <alignment vertical="center"/>
    </xf>
    <xf numFmtId="43" fontId="7" fillId="2" borderId="12" xfId="15" applyFont="1" applyFill="1" applyBorder="1" applyAlignment="1">
      <alignment vertical="center"/>
    </xf>
    <xf numFmtId="43" fontId="10" fillId="0" borderId="9" xfId="15" applyFont="1" applyBorder="1" applyAlignment="1">
      <alignment vertical="center"/>
    </xf>
    <xf numFmtId="43" fontId="9" fillId="0" borderId="9" xfId="15" applyFont="1" applyBorder="1" applyAlignment="1">
      <alignment vertical="center"/>
    </xf>
    <xf numFmtId="43" fontId="6" fillId="0" borderId="0" xfId="15" applyFont="1" applyBorder="1" applyAlignment="1">
      <alignment vertical="center"/>
    </xf>
    <xf numFmtId="43" fontId="11" fillId="0" borderId="0" xfId="15" applyFont="1" applyBorder="1" applyAlignment="1">
      <alignment vertical="center"/>
    </xf>
    <xf numFmtId="43" fontId="8" fillId="0" borderId="11" xfId="15" applyFont="1" applyFill="1" applyBorder="1" applyAlignment="1">
      <alignment vertical="center"/>
    </xf>
    <xf numFmtId="43" fontId="6" fillId="2" borderId="13" xfId="15" applyFont="1" applyFill="1" applyBorder="1" applyAlignment="1">
      <alignment vertical="center"/>
    </xf>
    <xf numFmtId="43" fontId="7" fillId="2" borderId="13" xfId="15" applyFont="1" applyFill="1" applyBorder="1" applyAlignment="1">
      <alignment vertical="center"/>
    </xf>
    <xf numFmtId="43" fontId="6" fillId="0" borderId="9" xfId="15" applyFont="1" applyBorder="1" applyAlignment="1">
      <alignment vertical="center"/>
    </xf>
    <xf numFmtId="43" fontId="7" fillId="0" borderId="9" xfId="15" applyFont="1" applyBorder="1" applyAlignment="1">
      <alignment vertical="center"/>
    </xf>
    <xf numFmtId="43" fontId="5" fillId="0" borderId="9" xfId="15" applyFont="1" applyBorder="1" applyAlignment="1">
      <alignment vertical="center"/>
    </xf>
    <xf numFmtId="43" fontId="8" fillId="0" borderId="9" xfId="15" applyFont="1" applyBorder="1" applyAlignment="1">
      <alignment vertical="center"/>
    </xf>
    <xf numFmtId="43" fontId="7" fillId="0" borderId="9" xfId="15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8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78" fontId="5" fillId="0" borderId="7" xfId="0" applyNumberFormat="1" applyFont="1" applyFill="1" applyBorder="1" applyAlignment="1">
      <alignment vertical="center"/>
    </xf>
    <xf numFmtId="178" fontId="15" fillId="2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45" fillId="0" borderId="14" xfId="0" applyFont="1" applyBorder="1" applyAlignment="1">
      <alignment/>
    </xf>
    <xf numFmtId="0" fontId="45" fillId="0" borderId="0" xfId="0" applyFont="1" applyAlignment="1">
      <alignment horizontal="center"/>
    </xf>
    <xf numFmtId="43" fontId="45" fillId="0" borderId="0" xfId="15" applyFont="1" applyAlignment="1">
      <alignment/>
    </xf>
    <xf numFmtId="179" fontId="5" fillId="0" borderId="0" xfId="0" applyNumberFormat="1" applyFont="1" applyAlignment="1" quotePrefix="1">
      <alignment horizontal="right"/>
    </xf>
    <xf numFmtId="0" fontId="19" fillId="0" borderId="0" xfId="0" applyNumberFormat="1" applyFont="1" applyAlignment="1">
      <alignment vertical="center"/>
    </xf>
    <xf numFmtId="179" fontId="6" fillId="0" borderId="0" xfId="0" applyNumberFormat="1" applyFont="1" applyAlignment="1">
      <alignment horizontal="right"/>
    </xf>
    <xf numFmtId="0" fontId="5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179" fontId="6" fillId="0" borderId="0" xfId="0" applyNumberFormat="1" applyFont="1" applyAlignment="1" quotePrefix="1">
      <alignment horizontal="right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horizontal="left" vertical="center"/>
    </xf>
    <xf numFmtId="43" fontId="19" fillId="0" borderId="0" xfId="15" applyFont="1" applyAlignment="1">
      <alignment vertical="center"/>
    </xf>
    <xf numFmtId="43" fontId="5" fillId="0" borderId="0" xfId="15" applyFont="1" applyAlignment="1">
      <alignment horizontal="center" vertical="center"/>
    </xf>
    <xf numFmtId="43" fontId="5" fillId="0" borderId="0" xfId="15" applyFont="1" applyAlignment="1">
      <alignment vertical="center"/>
    </xf>
    <xf numFmtId="43" fontId="10" fillId="0" borderId="0" xfId="15" applyFont="1" applyAlignment="1">
      <alignment vertical="center"/>
    </xf>
    <xf numFmtId="43" fontId="6" fillId="0" borderId="0" xfId="15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left"/>
    </xf>
    <xf numFmtId="179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178" fontId="5" fillId="0" borderId="0" xfId="0" applyNumberFormat="1" applyFont="1" applyBorder="1" applyAlignment="1">
      <alignment horizontal="center" vertical="center"/>
    </xf>
    <xf numFmtId="179" fontId="5" fillId="0" borderId="0" xfId="0" applyNumberFormat="1" applyFont="1" applyBorder="1" applyAlignment="1">
      <alignment horizontal="center" vertical="center"/>
    </xf>
    <xf numFmtId="178" fontId="21" fillId="0" borderId="10" xfId="0" applyNumberFormat="1" applyFont="1" applyBorder="1" applyAlignment="1">
      <alignment horizontal="right" vertical="center" wrapText="1" shrinkToFit="1"/>
    </xf>
    <xf numFmtId="178" fontId="22" fillId="0" borderId="10" xfId="0" applyNumberFormat="1" applyFont="1" applyBorder="1" applyAlignment="1">
      <alignment horizontal="right" vertical="center" wrapText="1" shrinkToFit="1"/>
    </xf>
    <xf numFmtId="190" fontId="7" fillId="0" borderId="9" xfId="15" applyNumberFormat="1" applyFont="1" applyBorder="1" applyAlignment="1">
      <alignment horizontal="right" vertical="center" wrapText="1" shrinkToFit="1"/>
    </xf>
    <xf numFmtId="190" fontId="6" fillId="0" borderId="9" xfId="15" applyNumberFormat="1" applyFont="1" applyBorder="1" applyAlignment="1">
      <alignment horizontal="right" vertical="center" wrapText="1" shrinkToFit="1"/>
    </xf>
    <xf numFmtId="0" fontId="25" fillId="0" borderId="0" xfId="0" applyFont="1" applyAlignment="1">
      <alignment/>
    </xf>
    <xf numFmtId="0" fontId="20" fillId="0" borderId="0" xfId="0" applyFont="1" applyAlignment="1">
      <alignment/>
    </xf>
    <xf numFmtId="178" fontId="56" fillId="0" borderId="0" xfId="0" applyNumberFormat="1" applyFont="1" applyAlignment="1">
      <alignment vertical="center"/>
    </xf>
    <xf numFmtId="178" fontId="56" fillId="0" borderId="0" xfId="0" applyNumberFormat="1" applyFont="1" applyAlignment="1">
      <alignment horizontal="right" vertical="center"/>
    </xf>
    <xf numFmtId="179" fontId="57" fillId="0" borderId="0" xfId="0" applyNumberFormat="1" applyFont="1" applyAlignment="1">
      <alignment horizontal="left" vertical="center"/>
    </xf>
    <xf numFmtId="178" fontId="57" fillId="0" borderId="0" xfId="0" applyNumberFormat="1" applyFont="1" applyAlignment="1">
      <alignment vertical="center"/>
    </xf>
    <xf numFmtId="179" fontId="5" fillId="0" borderId="15" xfId="0" applyNumberFormat="1" applyFont="1" applyBorder="1" applyAlignment="1">
      <alignment vertical="center"/>
    </xf>
    <xf numFmtId="178" fontId="5" fillId="0" borderId="16" xfId="0" applyNumberFormat="1" applyFont="1" applyBorder="1" applyAlignment="1">
      <alignment vertical="center"/>
    </xf>
    <xf numFmtId="179" fontId="23" fillId="0" borderId="16" xfId="0" applyNumberFormat="1" applyFont="1" applyBorder="1" applyAlignment="1">
      <alignment horizontal="center" vertical="center"/>
    </xf>
    <xf numFmtId="179" fontId="5" fillId="0" borderId="17" xfId="0" applyNumberFormat="1" applyFont="1" applyBorder="1" applyAlignment="1">
      <alignment vertical="center"/>
    </xf>
    <xf numFmtId="178" fontId="5" fillId="0" borderId="14" xfId="0" applyNumberFormat="1" applyFont="1" applyBorder="1" applyAlignment="1">
      <alignment vertical="center"/>
    </xf>
    <xf numFmtId="178" fontId="6" fillId="0" borderId="14" xfId="0" applyNumberFormat="1" applyFont="1" applyBorder="1" applyAlignment="1">
      <alignment vertical="center"/>
    </xf>
    <xf numFmtId="178" fontId="6" fillId="0" borderId="14" xfId="0" applyNumberFormat="1" applyFont="1" applyBorder="1" applyAlignment="1">
      <alignment horizontal="center" vertical="center"/>
    </xf>
    <xf numFmtId="179" fontId="6" fillId="0" borderId="18" xfId="0" applyNumberFormat="1" applyFont="1" applyBorder="1" applyAlignment="1">
      <alignment vertical="center"/>
    </xf>
    <xf numFmtId="178" fontId="5" fillId="0" borderId="19" xfId="0" applyNumberFormat="1" applyFont="1" applyBorder="1" applyAlignment="1">
      <alignment vertical="center"/>
    </xf>
    <xf numFmtId="178" fontId="6" fillId="0" borderId="19" xfId="0" applyNumberFormat="1" applyFont="1" applyBorder="1" applyAlignment="1">
      <alignment vertical="center"/>
    </xf>
    <xf numFmtId="196" fontId="6" fillId="0" borderId="19" xfId="0" applyNumberFormat="1" applyFont="1" applyBorder="1" applyAlignment="1">
      <alignment horizontal="center" vertical="center"/>
    </xf>
    <xf numFmtId="178" fontId="6" fillId="0" borderId="19" xfId="0" applyNumberFormat="1" applyFont="1" applyBorder="1" applyAlignment="1">
      <alignment horizontal="center" vertical="center"/>
    </xf>
    <xf numFmtId="179" fontId="6" fillId="0" borderId="20" xfId="0" applyNumberFormat="1" applyFont="1" applyBorder="1" applyAlignment="1">
      <alignment vertical="center"/>
    </xf>
    <xf numFmtId="178" fontId="5" fillId="0" borderId="21" xfId="0" applyNumberFormat="1" applyFont="1" applyBorder="1" applyAlignment="1">
      <alignment vertical="center"/>
    </xf>
    <xf numFmtId="178" fontId="58" fillId="0" borderId="21" xfId="0" applyNumberFormat="1" applyFont="1" applyBorder="1" applyAlignment="1">
      <alignment horizontal="center" vertical="center"/>
    </xf>
    <xf numFmtId="179" fontId="5" fillId="0" borderId="22" xfId="0" applyNumberFormat="1" applyFont="1" applyBorder="1" applyAlignment="1" quotePrefix="1">
      <alignment horizontal="center" vertical="center"/>
    </xf>
    <xf numFmtId="178" fontId="5" fillId="0" borderId="23" xfId="0" applyNumberFormat="1" applyFont="1" applyBorder="1" applyAlignment="1">
      <alignment vertical="center"/>
    </xf>
    <xf numFmtId="178" fontId="5" fillId="0" borderId="23" xfId="0" applyNumberFormat="1" applyFont="1" applyBorder="1" applyAlignment="1">
      <alignment horizontal="left" vertical="center"/>
    </xf>
    <xf numFmtId="43" fontId="5" fillId="2" borderId="23" xfId="15" applyFont="1" applyFill="1" applyBorder="1" applyAlignment="1">
      <alignment vertical="center"/>
    </xf>
    <xf numFmtId="179" fontId="19" fillId="0" borderId="22" xfId="0" applyNumberFormat="1" applyFont="1" applyBorder="1" applyAlignment="1" quotePrefix="1">
      <alignment horizontal="center" vertical="center"/>
    </xf>
    <xf numFmtId="178" fontId="8" fillId="2" borderId="0" xfId="0" applyNumberFormat="1" applyFont="1" applyFill="1" applyBorder="1" applyAlignment="1">
      <alignment/>
    </xf>
    <xf numFmtId="178" fontId="6" fillId="0" borderId="23" xfId="0" applyNumberFormat="1" applyFont="1" applyBorder="1" applyAlignment="1">
      <alignment horizontal="left" vertical="center"/>
    </xf>
    <xf numFmtId="43" fontId="6" fillId="2" borderId="23" xfId="15" applyFont="1" applyFill="1" applyBorder="1" applyAlignment="1">
      <alignment vertical="center"/>
    </xf>
    <xf numFmtId="178" fontId="6" fillId="0" borderId="23" xfId="0" applyNumberFormat="1" applyFont="1" applyBorder="1" applyAlignment="1">
      <alignment vertical="center"/>
    </xf>
    <xf numFmtId="179" fontId="5" fillId="0" borderId="23" xfId="0" applyNumberFormat="1" applyFont="1" applyBorder="1" applyAlignment="1">
      <alignment vertical="center"/>
    </xf>
    <xf numFmtId="43" fontId="5" fillId="0" borderId="23" xfId="15" applyFont="1" applyBorder="1" applyAlignment="1">
      <alignment vertical="center"/>
    </xf>
    <xf numFmtId="178" fontId="7" fillId="0" borderId="0" xfId="0" applyNumberFormat="1" applyFont="1" applyBorder="1" applyAlignment="1">
      <alignment vertical="center"/>
    </xf>
    <xf numFmtId="43" fontId="10" fillId="0" borderId="23" xfId="15" applyFont="1" applyBorder="1" applyAlignment="1">
      <alignment vertical="center"/>
    </xf>
    <xf numFmtId="43" fontId="8" fillId="0" borderId="23" xfId="15" applyFont="1" applyBorder="1" applyAlignment="1">
      <alignment horizontal="right" vertical="center"/>
    </xf>
    <xf numFmtId="178" fontId="10" fillId="0" borderId="23" xfId="0" applyNumberFormat="1" applyFont="1" applyBorder="1" applyAlignment="1">
      <alignment vertical="center"/>
    </xf>
    <xf numFmtId="178" fontId="19" fillId="0" borderId="23" xfId="0" applyNumberFormat="1" applyFont="1" applyBorder="1" applyAlignment="1">
      <alignment vertical="center"/>
    </xf>
    <xf numFmtId="43" fontId="19" fillId="0" borderId="23" xfId="15" applyFont="1" applyBorder="1" applyAlignment="1">
      <alignment vertical="center"/>
    </xf>
    <xf numFmtId="178" fontId="24" fillId="0" borderId="0" xfId="0" applyNumberFormat="1" applyFont="1" applyBorder="1" applyAlignment="1">
      <alignment vertical="center"/>
    </xf>
    <xf numFmtId="179" fontId="19" fillId="0" borderId="24" xfId="0" applyNumberFormat="1" applyFont="1" applyBorder="1" applyAlignment="1" quotePrefix="1">
      <alignment horizontal="center" vertical="center"/>
    </xf>
    <xf numFmtId="178" fontId="10" fillId="0" borderId="25" xfId="0" applyNumberFormat="1" applyFont="1" applyBorder="1" applyAlignment="1">
      <alignment vertical="center"/>
    </xf>
    <xf numFmtId="178" fontId="19" fillId="0" borderId="25" xfId="0" applyNumberFormat="1" applyFont="1" applyBorder="1" applyAlignment="1">
      <alignment vertical="center"/>
    </xf>
    <xf numFmtId="43" fontId="19" fillId="0" borderId="25" xfId="15" applyFont="1" applyBorder="1" applyAlignment="1">
      <alignment vertical="center"/>
    </xf>
    <xf numFmtId="178" fontId="22" fillId="0" borderId="0" xfId="0" applyNumberFormat="1" applyFont="1" applyBorder="1" applyAlignment="1">
      <alignment horizontal="right" vertical="center" wrapText="1" shrinkToFit="1"/>
    </xf>
    <xf numFmtId="179" fontId="19" fillId="0" borderId="0" xfId="0" applyNumberFormat="1" applyFont="1" applyFill="1" applyAlignment="1" quotePrefix="1">
      <alignment horizontal="center" vertical="center"/>
    </xf>
    <xf numFmtId="178" fontId="19" fillId="0" borderId="0" xfId="0" applyNumberFormat="1" applyFont="1" applyFill="1" applyAlignment="1">
      <alignment vertical="center"/>
    </xf>
    <xf numFmtId="178" fontId="23" fillId="0" borderId="0" xfId="0" applyNumberFormat="1" applyFont="1" applyFill="1" applyAlignment="1">
      <alignment vertical="center"/>
    </xf>
    <xf numFmtId="10" fontId="23" fillId="0" borderId="0" xfId="21" applyNumberFormat="1" applyFont="1" applyFill="1" applyAlignment="1">
      <alignment horizontal="right" vertical="center" wrapText="1" shrinkToFit="1"/>
    </xf>
    <xf numFmtId="10" fontId="24" fillId="0" borderId="0" xfId="21" applyNumberFormat="1" applyFont="1" applyFill="1" applyAlignment="1">
      <alignment horizontal="right" vertical="center" wrapText="1" shrinkToFit="1"/>
    </xf>
    <xf numFmtId="178" fontId="10" fillId="0" borderId="0" xfId="0" applyNumberFormat="1" applyFont="1" applyFill="1" applyAlignment="1">
      <alignment vertical="center"/>
    </xf>
    <xf numFmtId="10" fontId="7" fillId="0" borderId="0" xfId="21" applyNumberFormat="1" applyFont="1" applyFill="1" applyAlignment="1">
      <alignment horizontal="right" vertical="center" wrapText="1" shrinkToFit="1"/>
    </xf>
    <xf numFmtId="178" fontId="5" fillId="0" borderId="15" xfId="0" applyNumberFormat="1" applyFont="1" applyBorder="1" applyAlignment="1">
      <alignment vertical="center"/>
    </xf>
    <xf numFmtId="178" fontId="15" fillId="0" borderId="17" xfId="0" applyNumberFormat="1" applyFont="1" applyBorder="1" applyAlignment="1">
      <alignment vertical="center"/>
    </xf>
    <xf numFmtId="179" fontId="23" fillId="0" borderId="14" xfId="0" applyNumberFormat="1" applyFont="1" applyBorder="1" applyAlignment="1">
      <alignment horizontal="center" vertical="center"/>
    </xf>
    <xf numFmtId="178" fontId="6" fillId="0" borderId="18" xfId="0" applyNumberFormat="1" applyFont="1" applyBorder="1" applyAlignment="1">
      <alignment vertical="center"/>
    </xf>
    <xf numFmtId="43" fontId="5" fillId="2" borderId="21" xfId="15" applyFont="1" applyFill="1" applyBorder="1" applyAlignment="1">
      <alignment vertical="center"/>
    </xf>
    <xf numFmtId="178" fontId="5" fillId="0" borderId="22" xfId="0" applyNumberFormat="1" applyFont="1" applyBorder="1" applyAlignment="1">
      <alignment horizontal="left" vertical="center"/>
    </xf>
    <xf numFmtId="178" fontId="5" fillId="0" borderId="22" xfId="0" applyNumberFormat="1" applyFont="1" applyBorder="1" applyAlignment="1">
      <alignment vertical="center"/>
    </xf>
    <xf numFmtId="179" fontId="5" fillId="0" borderId="24" xfId="0" applyNumberFormat="1" applyFont="1" applyBorder="1" applyAlignment="1">
      <alignment vertical="center"/>
    </xf>
    <xf numFmtId="43" fontId="23" fillId="0" borderId="0" xfId="15" applyFont="1" applyAlignment="1">
      <alignment vertical="center"/>
    </xf>
    <xf numFmtId="178" fontId="23" fillId="0" borderId="0" xfId="0" applyNumberFormat="1" applyFont="1" applyAlignment="1">
      <alignment horizontal="center" vertical="center"/>
    </xf>
    <xf numFmtId="178" fontId="23" fillId="0" borderId="0" xfId="0" applyNumberFormat="1" applyFont="1" applyBorder="1" applyAlignment="1">
      <alignment horizontal="center" vertical="center"/>
    </xf>
    <xf numFmtId="178" fontId="23" fillId="0" borderId="0" xfId="0" applyNumberFormat="1" applyFont="1" applyBorder="1" applyAlignment="1">
      <alignment horizontal="left" vertical="center"/>
    </xf>
    <xf numFmtId="179" fontId="23" fillId="0" borderId="15" xfId="0" applyNumberFormat="1" applyFont="1" applyBorder="1" applyAlignment="1">
      <alignment horizontal="center" vertical="center"/>
    </xf>
    <xf numFmtId="179" fontId="23" fillId="0" borderId="17" xfId="0" applyNumberFormat="1" applyFont="1" applyBorder="1" applyAlignment="1">
      <alignment horizontal="center" vertical="center"/>
    </xf>
    <xf numFmtId="178" fontId="44" fillId="0" borderId="0" xfId="0" applyNumberFormat="1" applyFont="1" applyBorder="1" applyAlignment="1">
      <alignment vertical="center"/>
    </xf>
    <xf numFmtId="178" fontId="6" fillId="0" borderId="18" xfId="0" applyNumberFormat="1" applyFont="1" applyBorder="1" applyAlignment="1">
      <alignment horizontal="center" vertical="center"/>
    </xf>
    <xf numFmtId="178" fontId="58" fillId="0" borderId="26" xfId="0" applyNumberFormat="1" applyFont="1" applyBorder="1" applyAlignment="1">
      <alignment horizontal="center" vertical="center"/>
    </xf>
    <xf numFmtId="178" fontId="58" fillId="0" borderId="27" xfId="0" applyNumberFormat="1" applyFont="1" applyBorder="1" applyAlignment="1">
      <alignment horizontal="center" vertical="center"/>
    </xf>
    <xf numFmtId="186" fontId="5" fillId="2" borderId="0" xfId="15" applyNumberFormat="1" applyFont="1" applyFill="1" applyBorder="1" applyAlignment="1">
      <alignment vertical="center"/>
    </xf>
    <xf numFmtId="43" fontId="19" fillId="2" borderId="28" xfId="15" applyFont="1" applyFill="1" applyBorder="1" applyAlignment="1">
      <alignment vertical="center"/>
    </xf>
    <xf numFmtId="43" fontId="5" fillId="2" borderId="22" xfId="15" applyFont="1" applyFill="1" applyBorder="1" applyAlignment="1">
      <alignment vertical="center"/>
    </xf>
    <xf numFmtId="43" fontId="6" fillId="2" borderId="24" xfId="15" applyFont="1" applyFill="1" applyBorder="1" applyAlignment="1">
      <alignment vertical="center"/>
    </xf>
    <xf numFmtId="43" fontId="6" fillId="2" borderId="25" xfId="15" applyFont="1" applyFill="1" applyBorder="1" applyAlignment="1">
      <alignment vertical="center"/>
    </xf>
    <xf numFmtId="43" fontId="5" fillId="2" borderId="29" xfId="15" applyFont="1" applyFill="1" applyBorder="1" applyAlignment="1">
      <alignment vertical="center"/>
    </xf>
    <xf numFmtId="43" fontId="5" fillId="2" borderId="28" xfId="15" applyFont="1" applyFill="1" applyBorder="1" applyAlignment="1">
      <alignment vertical="center"/>
    </xf>
    <xf numFmtId="43" fontId="6" fillId="2" borderId="30" xfId="15" applyFont="1" applyFill="1" applyBorder="1" applyAlignment="1">
      <alignment vertical="center"/>
    </xf>
    <xf numFmtId="10" fontId="6" fillId="0" borderId="0" xfId="21" applyNumberFormat="1" applyFont="1" applyFill="1" applyAlignment="1">
      <alignment horizontal="right" vertical="center" wrapText="1" shrinkToFit="1"/>
    </xf>
    <xf numFmtId="0" fontId="6" fillId="0" borderId="7" xfId="0" applyNumberFormat="1" applyFont="1" applyBorder="1" applyAlignment="1">
      <alignment vertical="center"/>
    </xf>
    <xf numFmtId="179" fontId="25" fillId="0" borderId="0" xfId="0" applyNumberFormat="1" applyFont="1" applyAlignment="1">
      <alignment vertical="center"/>
    </xf>
    <xf numFmtId="43" fontId="25" fillId="0" borderId="0" xfId="15" applyFont="1" applyAlignment="1">
      <alignment vertical="center"/>
    </xf>
    <xf numFmtId="0" fontId="0" fillId="0" borderId="31" xfId="0" applyBorder="1" applyAlignment="1">
      <alignment/>
    </xf>
    <xf numFmtId="0" fontId="0" fillId="0" borderId="7" xfId="0" applyBorder="1" applyAlignment="1">
      <alignment/>
    </xf>
    <xf numFmtId="2" fontId="0" fillId="0" borderId="7" xfId="0" applyNumberFormat="1" applyBorder="1" applyAlignment="1">
      <alignment/>
    </xf>
    <xf numFmtId="43" fontId="48" fillId="0" borderId="7" xfId="15" applyFont="1" applyBorder="1" applyAlignment="1">
      <alignment/>
    </xf>
    <xf numFmtId="0" fontId="59" fillId="0" borderId="0" xfId="0" applyFont="1" applyAlignment="1">
      <alignment/>
    </xf>
    <xf numFmtId="178" fontId="23" fillId="0" borderId="0" xfId="0" applyNumberFormat="1" applyFont="1" applyAlignment="1">
      <alignment horizontal="right" vertical="center"/>
    </xf>
    <xf numFmtId="178" fontId="6" fillId="0" borderId="20" xfId="0" applyNumberFormat="1" applyFont="1" applyBorder="1" applyAlignment="1">
      <alignment horizontal="left" vertical="center"/>
    </xf>
    <xf numFmtId="178" fontId="6" fillId="0" borderId="22" xfId="0" applyNumberFormat="1" applyFont="1" applyBorder="1" applyAlignment="1">
      <alignment horizontal="left" vertical="center"/>
    </xf>
    <xf numFmtId="178" fontId="6" fillId="0" borderId="22" xfId="0" applyNumberFormat="1" applyFont="1" applyBorder="1" applyAlignment="1">
      <alignment vertical="center"/>
    </xf>
    <xf numFmtId="178" fontId="34" fillId="0" borderId="0" xfId="0" applyNumberFormat="1" applyFont="1" applyAlignment="1">
      <alignment vertical="center"/>
    </xf>
    <xf numFmtId="179" fontId="34" fillId="0" borderId="9" xfId="0" applyNumberFormat="1" applyFont="1" applyBorder="1" applyAlignment="1">
      <alignment horizontal="center" vertical="center"/>
    </xf>
    <xf numFmtId="179" fontId="40" fillId="0" borderId="9" xfId="0" applyNumberFormat="1" applyFont="1" applyBorder="1" applyAlignment="1">
      <alignment horizontal="center" vertical="center"/>
    </xf>
    <xf numFmtId="43" fontId="5" fillId="0" borderId="11" xfId="15" applyFont="1" applyFill="1" applyBorder="1" applyAlignment="1">
      <alignment vertical="center"/>
    </xf>
    <xf numFmtId="178" fontId="15" fillId="0" borderId="0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78" fontId="50" fillId="0" borderId="0" xfId="0" applyNumberFormat="1" applyFont="1" applyFill="1" applyAlignment="1">
      <alignment vertical="center"/>
    </xf>
    <xf numFmtId="179" fontId="24" fillId="0" borderId="0" xfId="0" applyNumberFormat="1" applyFont="1" applyAlignment="1">
      <alignment horizontal="left" vertical="center"/>
    </xf>
    <xf numFmtId="178" fontId="61" fillId="0" borderId="0" xfId="0" applyNumberFormat="1" applyFont="1" applyAlignment="1">
      <alignment vertical="center"/>
    </xf>
    <xf numFmtId="178" fontId="6" fillId="0" borderId="14" xfId="0" applyNumberFormat="1" applyFont="1" applyFill="1" applyBorder="1" applyAlignment="1">
      <alignment horizontal="center" vertical="center"/>
    </xf>
    <xf numFmtId="178" fontId="6" fillId="0" borderId="19" xfId="0" applyNumberFormat="1" applyFont="1" applyFill="1" applyBorder="1" applyAlignment="1">
      <alignment horizontal="center" vertical="center"/>
    </xf>
    <xf numFmtId="188" fontId="23" fillId="0" borderId="0" xfId="0" applyNumberFormat="1" applyFont="1" applyAlignment="1">
      <alignment vertical="center"/>
    </xf>
    <xf numFmtId="43" fontId="5" fillId="2" borderId="25" xfId="15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horizontal="center" vertical="center"/>
    </xf>
    <xf numFmtId="178" fontId="18" fillId="0" borderId="0" xfId="0" applyNumberFormat="1" applyFont="1" applyBorder="1" applyAlignment="1">
      <alignment horizontal="right" vertical="center"/>
    </xf>
    <xf numFmtId="178" fontId="34" fillId="0" borderId="0" xfId="0" applyNumberFormat="1" applyFont="1" applyBorder="1" applyAlignment="1">
      <alignment horizontal="center" vertical="center"/>
    </xf>
    <xf numFmtId="43" fontId="6" fillId="2" borderId="0" xfId="15" applyFont="1" applyFill="1" applyBorder="1" applyAlignment="1">
      <alignment vertical="center"/>
    </xf>
    <xf numFmtId="43" fontId="7" fillId="2" borderId="0" xfId="15" applyFont="1" applyFill="1" applyBorder="1" applyAlignment="1">
      <alignment vertical="center"/>
    </xf>
    <xf numFmtId="43" fontId="5" fillId="2" borderId="0" xfId="15" applyFont="1" applyFill="1" applyBorder="1" applyAlignment="1">
      <alignment vertical="center"/>
    </xf>
    <xf numFmtId="43" fontId="8" fillId="2" borderId="0" xfId="15" applyFont="1" applyFill="1" applyBorder="1" applyAlignment="1">
      <alignment vertical="center"/>
    </xf>
    <xf numFmtId="43" fontId="9" fillId="0" borderId="0" xfId="15" applyFont="1" applyBorder="1" applyAlignment="1">
      <alignment vertical="center"/>
    </xf>
    <xf numFmtId="43" fontId="5" fillId="0" borderId="0" xfId="15" applyFont="1" applyFill="1" applyBorder="1" applyAlignment="1">
      <alignment vertical="center"/>
    </xf>
    <xf numFmtId="43" fontId="6" fillId="0" borderId="0" xfId="15" applyFont="1" applyBorder="1" applyAlignment="1">
      <alignment horizontal="right" vertical="center"/>
    </xf>
    <xf numFmtId="43" fontId="7" fillId="0" borderId="0" xfId="15" applyFont="1" applyBorder="1" applyAlignment="1">
      <alignment horizontal="right" vertical="center"/>
    </xf>
    <xf numFmtId="178" fontId="21" fillId="0" borderId="0" xfId="0" applyNumberFormat="1" applyFont="1" applyBorder="1" applyAlignment="1">
      <alignment horizontal="right" vertical="top" wrapText="1" shrinkToFit="1"/>
    </xf>
    <xf numFmtId="178" fontId="21" fillId="0" borderId="0" xfId="0" applyNumberFormat="1" applyFont="1" applyBorder="1" applyAlignment="1">
      <alignment horizontal="right" vertical="center" wrapText="1" shrinkToFit="1"/>
    </xf>
    <xf numFmtId="190" fontId="6" fillId="0" borderId="0" xfId="15" applyNumberFormat="1" applyFont="1" applyBorder="1" applyAlignment="1">
      <alignment horizontal="right" vertical="center" wrapText="1" shrinkToFit="1"/>
    </xf>
    <xf numFmtId="190" fontId="7" fillId="0" borderId="0" xfId="15" applyNumberFormat="1" applyFont="1" applyBorder="1" applyAlignment="1">
      <alignment horizontal="right" vertical="center" wrapText="1" shrinkToFit="1"/>
    </xf>
    <xf numFmtId="10" fontId="6" fillId="0" borderId="0" xfId="21" applyNumberFormat="1" applyFont="1" applyBorder="1" applyAlignment="1">
      <alignment horizontal="right" vertical="center" wrapText="1" shrinkToFit="1"/>
    </xf>
    <xf numFmtId="43" fontId="8" fillId="0" borderId="0" xfId="15" applyFont="1" applyFill="1" applyBorder="1" applyAlignment="1">
      <alignment vertical="center"/>
    </xf>
    <xf numFmtId="178" fontId="62" fillId="2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188" fontId="9" fillId="0" borderId="0" xfId="15" applyNumberFormat="1" applyFont="1" applyBorder="1" applyAlignment="1">
      <alignment vertical="center"/>
    </xf>
    <xf numFmtId="43" fontId="63" fillId="0" borderId="0" xfId="15" applyFont="1" applyBorder="1" applyAlignment="1">
      <alignment vertical="center"/>
    </xf>
    <xf numFmtId="43" fontId="9" fillId="0" borderId="0" xfId="15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78" fontId="8" fillId="0" borderId="0" xfId="0" applyNumberFormat="1" applyFont="1" applyBorder="1" applyAlignment="1">
      <alignment vertical="center"/>
    </xf>
    <xf numFmtId="178" fontId="15" fillId="0" borderId="9" xfId="0" applyNumberFormat="1" applyFont="1" applyFill="1" applyBorder="1" applyAlignment="1">
      <alignment horizontal="center" vertical="center"/>
    </xf>
    <xf numFmtId="178" fontId="15" fillId="0" borderId="0" xfId="0" applyNumberFormat="1" applyFont="1" applyFill="1" applyBorder="1" applyAlignment="1">
      <alignment vertical="center"/>
    </xf>
    <xf numFmtId="178" fontId="28" fillId="0" borderId="0" xfId="0" applyNumberFormat="1" applyFont="1" applyFill="1" applyBorder="1" applyAlignment="1">
      <alignment vertical="center"/>
    </xf>
    <xf numFmtId="178" fontId="17" fillId="0" borderId="9" xfId="0" applyNumberFormat="1" applyFont="1" applyFill="1" applyBorder="1" applyAlignment="1">
      <alignment horizontal="center" vertical="center"/>
    </xf>
    <xf numFmtId="178" fontId="16" fillId="0" borderId="0" xfId="0" applyNumberFormat="1" applyFont="1" applyFill="1" applyBorder="1" applyAlignment="1">
      <alignment vertical="center"/>
    </xf>
    <xf numFmtId="178" fontId="15" fillId="0" borderId="0" xfId="0" applyNumberFormat="1" applyFont="1" applyFill="1" applyBorder="1" applyAlignment="1">
      <alignment horizontal="center" vertical="center"/>
    </xf>
    <xf numFmtId="178" fontId="34" fillId="0" borderId="10" xfId="0" applyNumberFormat="1" applyFont="1" applyFill="1" applyBorder="1" applyAlignment="1">
      <alignment horizontal="center" vertical="center"/>
    </xf>
    <xf numFmtId="178" fontId="10" fillId="0" borderId="7" xfId="0" applyNumberFormat="1" applyFont="1" applyFill="1" applyBorder="1" applyAlignment="1">
      <alignment vertical="center"/>
    </xf>
    <xf numFmtId="178" fontId="40" fillId="0" borderId="10" xfId="0" applyNumberFormat="1" applyFont="1" applyFill="1" applyBorder="1" applyAlignment="1">
      <alignment horizontal="center" vertical="center"/>
    </xf>
    <xf numFmtId="178" fontId="34" fillId="0" borderId="0" xfId="0" applyNumberFormat="1" applyFont="1" applyFill="1" applyBorder="1" applyAlignment="1">
      <alignment horizontal="center" vertical="center"/>
    </xf>
    <xf numFmtId="178" fontId="35" fillId="0" borderId="8" xfId="0" applyNumberFormat="1" applyFont="1" applyFill="1" applyBorder="1" applyAlignment="1">
      <alignment horizontal="center" vertical="center"/>
    </xf>
    <xf numFmtId="178" fontId="5" fillId="0" borderId="4" xfId="0" applyNumberFormat="1" applyFont="1" applyFill="1" applyBorder="1" applyAlignment="1">
      <alignment vertical="center"/>
    </xf>
    <xf numFmtId="178" fontId="10" fillId="0" borderId="4" xfId="0" applyNumberFormat="1" applyFont="1" applyFill="1" applyBorder="1" applyAlignment="1">
      <alignment vertical="center"/>
    </xf>
    <xf numFmtId="178" fontId="35" fillId="0" borderId="0" xfId="0" applyNumberFormat="1" applyFont="1" applyFill="1" applyBorder="1" applyAlignment="1">
      <alignment horizontal="center" vertical="center"/>
    </xf>
    <xf numFmtId="43" fontId="6" fillId="0" borderId="9" xfId="15" applyFont="1" applyFill="1" applyBorder="1" applyAlignment="1">
      <alignment vertical="center"/>
    </xf>
    <xf numFmtId="43" fontId="10" fillId="0" borderId="0" xfId="15" applyFont="1" applyFill="1" applyBorder="1" applyAlignment="1">
      <alignment vertical="center"/>
    </xf>
    <xf numFmtId="43" fontId="7" fillId="0" borderId="9" xfId="15" applyFont="1" applyFill="1" applyBorder="1" applyAlignment="1">
      <alignment vertical="center"/>
    </xf>
    <xf numFmtId="43" fontId="7" fillId="0" borderId="0" xfId="15" applyFont="1" applyFill="1" applyBorder="1" applyAlignment="1">
      <alignment vertical="center"/>
    </xf>
    <xf numFmtId="43" fontId="6" fillId="0" borderId="0" xfId="15" applyFont="1" applyFill="1" applyBorder="1" applyAlignment="1">
      <alignment vertical="center"/>
    </xf>
    <xf numFmtId="43" fontId="5" fillId="0" borderId="9" xfId="15" applyFont="1" applyFill="1" applyBorder="1" applyAlignment="1">
      <alignment vertical="center"/>
    </xf>
    <xf numFmtId="43" fontId="8" fillId="0" borderId="9" xfId="15" applyFont="1" applyFill="1" applyBorder="1" applyAlignment="1">
      <alignment vertical="center"/>
    </xf>
    <xf numFmtId="43" fontId="6" fillId="0" borderId="12" xfId="15" applyFont="1" applyFill="1" applyBorder="1" applyAlignment="1">
      <alignment vertical="center"/>
    </xf>
    <xf numFmtId="43" fontId="7" fillId="0" borderId="12" xfId="15" applyFont="1" applyFill="1" applyBorder="1" applyAlignment="1">
      <alignment vertical="center"/>
    </xf>
    <xf numFmtId="178" fontId="10" fillId="0" borderId="9" xfId="0" applyNumberFormat="1" applyFont="1" applyFill="1" applyBorder="1" applyAlignment="1">
      <alignment vertical="center"/>
    </xf>
    <xf numFmtId="178" fontId="10" fillId="0" borderId="0" xfId="0" applyNumberFormat="1" applyFont="1" applyFill="1" applyBorder="1" applyAlignment="1">
      <alignment vertical="center"/>
    </xf>
    <xf numFmtId="43" fontId="11" fillId="0" borderId="0" xfId="15" applyFont="1" applyFill="1" applyBorder="1" applyAlignment="1">
      <alignment vertical="center"/>
    </xf>
    <xf numFmtId="43" fontId="6" fillId="0" borderId="11" xfId="15" applyFont="1" applyFill="1" applyBorder="1" applyAlignment="1">
      <alignment vertical="center"/>
    </xf>
    <xf numFmtId="43" fontId="7" fillId="0" borderId="11" xfId="15" applyFont="1" applyFill="1" applyBorder="1" applyAlignment="1">
      <alignment vertical="center"/>
    </xf>
    <xf numFmtId="43" fontId="10" fillId="0" borderId="9" xfId="15" applyFont="1" applyFill="1" applyBorder="1" applyAlignment="1">
      <alignment vertical="center"/>
    </xf>
    <xf numFmtId="43" fontId="9" fillId="0" borderId="9" xfId="15" applyFont="1" applyFill="1" applyBorder="1" applyAlignment="1">
      <alignment vertical="center"/>
    </xf>
    <xf numFmtId="43" fontId="6" fillId="0" borderId="13" xfId="15" applyFont="1" applyFill="1" applyBorder="1" applyAlignment="1">
      <alignment vertical="center"/>
    </xf>
    <xf numFmtId="43" fontId="7" fillId="0" borderId="13" xfId="15" applyFont="1" applyFill="1" applyBorder="1" applyAlignment="1">
      <alignment vertical="center"/>
    </xf>
    <xf numFmtId="178" fontId="6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/>
    </xf>
    <xf numFmtId="178" fontId="60" fillId="0" borderId="8" xfId="0" applyNumberFormat="1" applyFont="1" applyFill="1" applyBorder="1" applyAlignment="1">
      <alignment horizontal="center" vertical="center"/>
    </xf>
    <xf numFmtId="178" fontId="9" fillId="0" borderId="9" xfId="0" applyNumberFormat="1" applyFont="1" applyFill="1" applyBorder="1" applyAlignment="1">
      <alignment vertical="center"/>
    </xf>
    <xf numFmtId="43" fontId="5" fillId="0" borderId="0" xfId="15" applyFont="1" applyBorder="1" applyAlignment="1">
      <alignment horizontal="center" vertical="center"/>
    </xf>
    <xf numFmtId="178" fontId="5" fillId="0" borderId="5" xfId="0" applyNumberFormat="1" applyFont="1" applyFill="1" applyBorder="1" applyAlignment="1">
      <alignment vertical="center"/>
    </xf>
    <xf numFmtId="178" fontId="10" fillId="0" borderId="5" xfId="0" applyNumberFormat="1" applyFont="1" applyBorder="1" applyAlignment="1">
      <alignment vertical="center"/>
    </xf>
    <xf numFmtId="178" fontId="5" fillId="0" borderId="5" xfId="0" applyNumberFormat="1" applyFont="1" applyBorder="1" applyAlignment="1">
      <alignment vertical="center"/>
    </xf>
    <xf numFmtId="178" fontId="6" fillId="0" borderId="0" xfId="0" applyNumberFormat="1" applyFont="1" applyAlignment="1">
      <alignment horizontal="center" vertical="center"/>
    </xf>
    <xf numFmtId="178" fontId="14" fillId="0" borderId="0" xfId="0" applyNumberFormat="1" applyFont="1" applyBorder="1" applyAlignment="1">
      <alignment horizontal="center" vertical="center"/>
    </xf>
    <xf numFmtId="179" fontId="5" fillId="0" borderId="5" xfId="0" applyNumberFormat="1" applyFont="1" applyBorder="1" applyAlignment="1" quotePrefix="1">
      <alignment horizontal="center" vertical="top"/>
    </xf>
    <xf numFmtId="43" fontId="6" fillId="0" borderId="9" xfId="15" applyFont="1" applyFill="1" applyBorder="1" applyAlignment="1">
      <alignment/>
    </xf>
    <xf numFmtId="43" fontId="6" fillId="0" borderId="0" xfId="15" applyFont="1" applyFill="1" applyBorder="1" applyAlignment="1">
      <alignment/>
    </xf>
    <xf numFmtId="43" fontId="7" fillId="0" borderId="9" xfId="15" applyFont="1" applyFill="1" applyBorder="1" applyAlignment="1">
      <alignment/>
    </xf>
    <xf numFmtId="43" fontId="11" fillId="0" borderId="0" xfId="15" applyFont="1" applyFill="1" applyBorder="1" applyAlignment="1">
      <alignment/>
    </xf>
    <xf numFmtId="43" fontId="5" fillId="0" borderId="0" xfId="15" applyFont="1" applyFill="1" applyBorder="1" applyAlignment="1">
      <alignment/>
    </xf>
    <xf numFmtId="43" fontId="10" fillId="0" borderId="0" xfId="15" applyFont="1" applyFill="1" applyBorder="1" applyAlignment="1">
      <alignment/>
    </xf>
    <xf numFmtId="178" fontId="19" fillId="0" borderId="0" xfId="0" applyNumberFormat="1" applyFont="1" applyAlignment="1">
      <alignment horizontal="left" vertical="center"/>
    </xf>
    <xf numFmtId="0" fontId="53" fillId="0" borderId="0" xfId="0" applyFont="1" applyAlignment="1">
      <alignment/>
    </xf>
    <xf numFmtId="0" fontId="51" fillId="0" borderId="14" xfId="0" applyFont="1" applyBorder="1" applyAlignment="1">
      <alignment/>
    </xf>
    <xf numFmtId="0" fontId="51" fillId="0" borderId="14" xfId="0" applyFont="1" applyBorder="1" applyAlignment="1">
      <alignment horizontal="center"/>
    </xf>
    <xf numFmtId="43" fontId="45" fillId="0" borderId="14" xfId="15" applyFont="1" applyBorder="1" applyAlignment="1">
      <alignment/>
    </xf>
    <xf numFmtId="43" fontId="45" fillId="0" borderId="14" xfId="15" applyFont="1" applyBorder="1" applyAlignment="1">
      <alignment horizontal="center"/>
    </xf>
    <xf numFmtId="43" fontId="45" fillId="0" borderId="21" xfId="15" applyFont="1" applyBorder="1" applyAlignment="1">
      <alignment/>
    </xf>
    <xf numFmtId="43" fontId="45" fillId="0" borderId="21" xfId="15" applyFont="1" applyBorder="1" applyAlignment="1">
      <alignment horizontal="center"/>
    </xf>
    <xf numFmtId="0" fontId="51" fillId="0" borderId="32" xfId="0" applyFont="1" applyBorder="1" applyAlignment="1">
      <alignment/>
    </xf>
    <xf numFmtId="43" fontId="51" fillId="0" borderId="32" xfId="15" applyFont="1" applyBorder="1" applyAlignment="1">
      <alignment/>
    </xf>
    <xf numFmtId="43" fontId="45" fillId="0" borderId="0" xfId="15" applyFont="1" applyAlignment="1">
      <alignment horizontal="center"/>
    </xf>
    <xf numFmtId="43" fontId="45" fillId="3" borderId="14" xfId="15" applyFont="1" applyFill="1" applyBorder="1" applyAlignment="1">
      <alignment/>
    </xf>
    <xf numFmtId="43" fontId="45" fillId="3" borderId="21" xfId="15" applyFont="1" applyFill="1" applyBorder="1" applyAlignment="1">
      <alignment/>
    </xf>
    <xf numFmtId="43" fontId="51" fillId="3" borderId="32" xfId="15" applyFont="1" applyFill="1" applyBorder="1" applyAlignment="1">
      <alignment/>
    </xf>
    <xf numFmtId="43" fontId="45" fillId="3" borderId="14" xfId="15" applyFont="1" applyFill="1" applyBorder="1" applyAlignment="1">
      <alignment horizontal="center"/>
    </xf>
    <xf numFmtId="43" fontId="45" fillId="3" borderId="21" xfId="15" applyFont="1" applyFill="1" applyBorder="1" applyAlignment="1">
      <alignment horizontal="center"/>
    </xf>
    <xf numFmtId="43" fontId="45" fillId="4" borderId="14" xfId="15" applyFont="1" applyFill="1" applyBorder="1" applyAlignment="1">
      <alignment horizontal="center"/>
    </xf>
    <xf numFmtId="43" fontId="45" fillId="4" borderId="21" xfId="15" applyFont="1" applyFill="1" applyBorder="1" applyAlignment="1">
      <alignment horizontal="center"/>
    </xf>
    <xf numFmtId="43" fontId="51" fillId="4" borderId="32" xfId="15" applyFont="1" applyFill="1" applyBorder="1" applyAlignment="1">
      <alignment/>
    </xf>
    <xf numFmtId="0" fontId="51" fillId="0" borderId="33" xfId="0" applyFont="1" applyBorder="1" applyAlignment="1">
      <alignment/>
    </xf>
    <xf numFmtId="0" fontId="51" fillId="0" borderId="34" xfId="0" applyFont="1" applyBorder="1" applyAlignment="1">
      <alignment/>
    </xf>
    <xf numFmtId="0" fontId="51" fillId="0" borderId="35" xfId="0" applyFont="1" applyBorder="1" applyAlignment="1">
      <alignment/>
    </xf>
    <xf numFmtId="0" fontId="51" fillId="0" borderId="17" xfId="0" applyFont="1" applyBorder="1" applyAlignment="1">
      <alignment horizontal="center"/>
    </xf>
    <xf numFmtId="0" fontId="51" fillId="3" borderId="36" xfId="0" applyFont="1" applyFill="1" applyBorder="1" applyAlignment="1">
      <alignment horizontal="center"/>
    </xf>
    <xf numFmtId="0" fontId="51" fillId="0" borderId="18" xfId="0" applyFont="1" applyBorder="1" applyAlignment="1">
      <alignment horizontal="center"/>
    </xf>
    <xf numFmtId="0" fontId="51" fillId="0" borderId="19" xfId="0" applyFont="1" applyBorder="1" applyAlignment="1">
      <alignment horizontal="center"/>
    </xf>
    <xf numFmtId="0" fontId="51" fillId="3" borderId="37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51" fillId="0" borderId="17" xfId="0" applyFont="1" applyBorder="1" applyAlignment="1">
      <alignment/>
    </xf>
    <xf numFmtId="43" fontId="51" fillId="0" borderId="14" xfId="15" applyFont="1" applyBorder="1" applyAlignment="1">
      <alignment/>
    </xf>
    <xf numFmtId="43" fontId="51" fillId="3" borderId="14" xfId="15" applyFont="1" applyFill="1" applyBorder="1" applyAlignment="1">
      <alignment/>
    </xf>
    <xf numFmtId="43" fontId="51" fillId="4" borderId="14" xfId="15" applyFont="1" applyFill="1" applyBorder="1" applyAlignment="1">
      <alignment/>
    </xf>
    <xf numFmtId="0" fontId="51" fillId="4" borderId="8" xfId="0" applyFont="1" applyFill="1" applyBorder="1" applyAlignment="1">
      <alignment horizontal="center"/>
    </xf>
    <xf numFmtId="0" fontId="51" fillId="4" borderId="9" xfId="0" applyFont="1" applyFill="1" applyBorder="1" applyAlignment="1">
      <alignment horizontal="center"/>
    </xf>
    <xf numFmtId="0" fontId="51" fillId="4" borderId="10" xfId="0" applyFont="1" applyFill="1" applyBorder="1" applyAlignment="1">
      <alignment horizontal="center"/>
    </xf>
    <xf numFmtId="178" fontId="6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178" fontId="5" fillId="0" borderId="8" xfId="0" applyNumberFormat="1" applyFont="1" applyBorder="1" applyAlignment="1">
      <alignment horizontal="left" vertical="center"/>
    </xf>
    <xf numFmtId="178" fontId="5" fillId="0" borderId="9" xfId="0" applyNumberFormat="1" applyFont="1" applyBorder="1" applyAlignment="1">
      <alignment horizontal="left" vertical="center"/>
    </xf>
    <xf numFmtId="178" fontId="6" fillId="0" borderId="8" xfId="0" applyNumberFormat="1" applyFont="1" applyBorder="1" applyAlignment="1">
      <alignment vertical="center"/>
    </xf>
    <xf numFmtId="178" fontId="5" fillId="0" borderId="9" xfId="0" applyNumberFormat="1" applyFont="1" applyBorder="1" applyAlignment="1">
      <alignment vertical="center"/>
    </xf>
    <xf numFmtId="178" fontId="5" fillId="0" borderId="11" xfId="0" applyNumberFormat="1" applyFont="1" applyBorder="1" applyAlignment="1">
      <alignment vertical="center"/>
    </xf>
    <xf numFmtId="179" fontId="6" fillId="0" borderId="9" xfId="0" applyNumberFormat="1" applyFont="1" applyBorder="1" applyAlignment="1">
      <alignment vertical="center"/>
    </xf>
    <xf numFmtId="179" fontId="5" fillId="0" borderId="9" xfId="0" applyNumberFormat="1" applyFont="1" applyBorder="1" applyAlignment="1">
      <alignment vertical="center"/>
    </xf>
    <xf numFmtId="178" fontId="8" fillId="0" borderId="9" xfId="0" applyNumberFormat="1" applyFont="1" applyBorder="1" applyAlignment="1">
      <alignment horizontal="right" vertical="center"/>
    </xf>
    <xf numFmtId="178" fontId="8" fillId="0" borderId="9" xfId="0" applyNumberFormat="1" applyFont="1" applyBorder="1" applyAlignment="1">
      <alignment vertical="center"/>
    </xf>
    <xf numFmtId="178" fontId="7" fillId="0" borderId="38" xfId="0" applyNumberFormat="1" applyFont="1" applyBorder="1" applyAlignment="1">
      <alignment vertical="center"/>
    </xf>
    <xf numFmtId="179" fontId="8" fillId="0" borderId="9" xfId="0" applyNumberFormat="1" applyFont="1" applyBorder="1" applyAlignment="1">
      <alignment vertical="center"/>
    </xf>
    <xf numFmtId="179" fontId="7" fillId="0" borderId="9" xfId="0" applyNumberFormat="1" applyFont="1" applyBorder="1" applyAlignment="1">
      <alignment vertical="center"/>
    </xf>
    <xf numFmtId="188" fontId="7" fillId="0" borderId="9" xfId="0" applyNumberFormat="1" applyFont="1" applyBorder="1" applyAlignment="1">
      <alignment horizontal="right" vertical="center"/>
    </xf>
    <xf numFmtId="43" fontId="8" fillId="0" borderId="9" xfId="15" applyFont="1" applyBorder="1" applyAlignment="1">
      <alignment horizontal="right" vertical="center"/>
    </xf>
    <xf numFmtId="199" fontId="8" fillId="0" borderId="9" xfId="0" applyNumberFormat="1" applyFont="1" applyBorder="1" applyAlignment="1">
      <alignment vertical="center"/>
    </xf>
    <xf numFmtId="199" fontId="7" fillId="0" borderId="39" xfId="15" applyNumberFormat="1" applyFont="1" applyFill="1" applyBorder="1" applyAlignment="1">
      <alignment/>
    </xf>
    <xf numFmtId="199" fontId="7" fillId="0" borderId="39" xfId="15" applyNumberFormat="1" applyFont="1" applyFill="1" applyBorder="1" applyAlignment="1">
      <alignment vertical="center"/>
    </xf>
    <xf numFmtId="199" fontId="7" fillId="0" borderId="13" xfId="15" applyNumberFormat="1" applyFont="1" applyFill="1" applyBorder="1" applyAlignment="1">
      <alignment vertical="center"/>
    </xf>
    <xf numFmtId="188" fontId="7" fillId="0" borderId="9" xfId="0" applyNumberFormat="1" applyFont="1" applyBorder="1" applyAlignment="1">
      <alignment vertical="center"/>
    </xf>
    <xf numFmtId="188" fontId="6" fillId="0" borderId="9" xfId="0" applyNumberFormat="1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43" fontId="5" fillId="3" borderId="11" xfId="15" applyFont="1" applyFill="1" applyBorder="1" applyAlignment="1">
      <alignment vertical="center"/>
    </xf>
    <xf numFmtId="0" fontId="5" fillId="0" borderId="9" xfId="0" applyFont="1" applyBorder="1" applyAlignment="1">
      <alignment vertical="center"/>
    </xf>
    <xf numFmtId="43" fontId="5" fillId="0" borderId="11" xfId="15" applyFont="1" applyBorder="1" applyAlignment="1">
      <alignment vertical="center"/>
    </xf>
    <xf numFmtId="43" fontId="6" fillId="0" borderId="13" xfId="15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43" fontId="8" fillId="0" borderId="11" xfId="15" applyFont="1" applyBorder="1" applyAlignment="1">
      <alignment vertical="center"/>
    </xf>
    <xf numFmtId="43" fontId="7" fillId="0" borderId="13" xfId="15" applyFont="1" applyBorder="1" applyAlignment="1">
      <alignment vertical="center"/>
    </xf>
    <xf numFmtId="178" fontId="6" fillId="0" borderId="10" xfId="0" applyNumberFormat="1" applyFont="1" applyBorder="1" applyAlignment="1">
      <alignment vertical="center"/>
    </xf>
    <xf numFmtId="0" fontId="6" fillId="0" borderId="7" xfId="0" applyFont="1" applyBorder="1" applyAlignment="1">
      <alignment vertical="center"/>
    </xf>
    <xf numFmtId="178" fontId="5" fillId="0" borderId="10" xfId="0" applyNumberFormat="1" applyFont="1" applyFill="1" applyBorder="1" applyAlignment="1">
      <alignment vertical="center"/>
    </xf>
    <xf numFmtId="178" fontId="6" fillId="0" borderId="9" xfId="0" applyNumberFormat="1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64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178" fontId="35" fillId="0" borderId="9" xfId="0" applyNumberFormat="1" applyFont="1" applyFill="1" applyBorder="1" applyAlignment="1">
      <alignment horizontal="center" vertical="center"/>
    </xf>
    <xf numFmtId="178" fontId="34" fillId="0" borderId="7" xfId="0" applyNumberFormat="1" applyFont="1" applyFill="1" applyBorder="1" applyAlignment="1">
      <alignment horizontal="center" vertical="center"/>
    </xf>
    <xf numFmtId="178" fontId="10" fillId="4" borderId="0" xfId="0" applyNumberFormat="1" applyFont="1" applyFill="1" applyAlignment="1">
      <alignment vertical="center"/>
    </xf>
    <xf numFmtId="0" fontId="14" fillId="4" borderId="0" xfId="0" applyFont="1" applyFill="1" applyAlignment="1">
      <alignment vertical="center"/>
    </xf>
    <xf numFmtId="0" fontId="14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43" fontId="5" fillId="3" borderId="9" xfId="15" applyFont="1" applyFill="1" applyBorder="1" applyAlignment="1">
      <alignment vertical="center"/>
    </xf>
    <xf numFmtId="179" fontId="34" fillId="3" borderId="9" xfId="0" applyNumberFormat="1" applyFont="1" applyFill="1" applyBorder="1" applyAlignment="1">
      <alignment horizontal="center" vertical="center"/>
    </xf>
    <xf numFmtId="178" fontId="34" fillId="3" borderId="10" xfId="0" applyNumberFormat="1" applyFont="1" applyFill="1" applyBorder="1" applyAlignment="1">
      <alignment horizontal="center" vertical="center"/>
    </xf>
    <xf numFmtId="178" fontId="35" fillId="3" borderId="9" xfId="0" applyNumberFormat="1" applyFont="1" applyFill="1" applyBorder="1" applyAlignment="1">
      <alignment horizontal="center" vertical="center"/>
    </xf>
    <xf numFmtId="43" fontId="6" fillId="3" borderId="9" xfId="15" applyFont="1" applyFill="1" applyBorder="1" applyAlignment="1">
      <alignment vertical="center"/>
    </xf>
    <xf numFmtId="43" fontId="6" fillId="3" borderId="13" xfId="15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178" fontId="5" fillId="3" borderId="10" xfId="0" applyNumberFormat="1" applyFont="1" applyFill="1" applyBorder="1" applyAlignment="1">
      <alignment vertical="center"/>
    </xf>
    <xf numFmtId="179" fontId="65" fillId="0" borderId="9" xfId="0" applyNumberFormat="1" applyFont="1" applyBorder="1" applyAlignment="1">
      <alignment horizontal="center" vertical="center"/>
    </xf>
    <xf numFmtId="179" fontId="66" fillId="0" borderId="9" xfId="0" applyNumberFormat="1" applyFont="1" applyBorder="1" applyAlignment="1">
      <alignment horizontal="center" vertical="center"/>
    </xf>
    <xf numFmtId="178" fontId="65" fillId="0" borderId="10" xfId="0" applyNumberFormat="1" applyFont="1" applyFill="1" applyBorder="1" applyAlignment="1">
      <alignment horizontal="center" vertical="center"/>
    </xf>
    <xf numFmtId="178" fontId="66" fillId="0" borderId="10" xfId="0" applyNumberFormat="1" applyFont="1" applyFill="1" applyBorder="1" applyAlignment="1">
      <alignment horizontal="center" vertical="center"/>
    </xf>
    <xf numFmtId="179" fontId="34" fillId="0" borderId="0" xfId="0" applyNumberFormat="1" applyFont="1" applyFill="1" applyBorder="1" applyAlignment="1">
      <alignment horizontal="center" vertical="center"/>
    </xf>
    <xf numFmtId="179" fontId="34" fillId="5" borderId="8" xfId="0" applyNumberFormat="1" applyFont="1" applyFill="1" applyBorder="1" applyAlignment="1">
      <alignment horizontal="center" vertical="center"/>
    </xf>
    <xf numFmtId="179" fontId="40" fillId="5" borderId="9" xfId="0" applyNumberFormat="1" applyFont="1" applyFill="1" applyBorder="1" applyAlignment="1">
      <alignment horizontal="center" vertical="center"/>
    </xf>
    <xf numFmtId="178" fontId="15" fillId="5" borderId="9" xfId="0" applyNumberFormat="1" applyFont="1" applyFill="1" applyBorder="1" applyAlignment="1">
      <alignment horizontal="center" vertical="center"/>
    </xf>
    <xf numFmtId="178" fontId="34" fillId="5" borderId="10" xfId="0" applyNumberFormat="1" applyFont="1" applyFill="1" applyBorder="1" applyAlignment="1">
      <alignment horizontal="center" vertical="center"/>
    </xf>
    <xf numFmtId="178" fontId="35" fillId="5" borderId="8" xfId="0" applyNumberFormat="1" applyFont="1" applyFill="1" applyBorder="1" applyAlignment="1">
      <alignment horizontal="center" vertical="center"/>
    </xf>
    <xf numFmtId="43" fontId="6" fillId="5" borderId="9" xfId="15" applyFont="1" applyFill="1" applyBorder="1" applyAlignment="1">
      <alignment vertical="center"/>
    </xf>
    <xf numFmtId="43" fontId="5" fillId="5" borderId="9" xfId="15" applyFont="1" applyFill="1" applyBorder="1" applyAlignment="1">
      <alignment vertical="center"/>
    </xf>
    <xf numFmtId="43" fontId="5" fillId="5" borderId="11" xfId="15" applyFont="1" applyFill="1" applyBorder="1" applyAlignment="1">
      <alignment vertical="center"/>
    </xf>
    <xf numFmtId="43" fontId="6" fillId="5" borderId="12" xfId="15" applyFont="1" applyFill="1" applyBorder="1" applyAlignment="1">
      <alignment vertical="center"/>
    </xf>
    <xf numFmtId="178" fontId="10" fillId="5" borderId="9" xfId="0" applyNumberFormat="1" applyFont="1" applyFill="1" applyBorder="1" applyAlignment="1">
      <alignment vertical="center"/>
    </xf>
    <xf numFmtId="43" fontId="6" fillId="5" borderId="9" xfId="15" applyFont="1" applyFill="1" applyBorder="1" applyAlignment="1">
      <alignment/>
    </xf>
    <xf numFmtId="43" fontId="10" fillId="5" borderId="9" xfId="15" applyFont="1" applyFill="1" applyBorder="1" applyAlignment="1">
      <alignment vertical="center"/>
    </xf>
    <xf numFmtId="43" fontId="6" fillId="5" borderId="13" xfId="15" applyFont="1" applyFill="1" applyBorder="1" applyAlignment="1">
      <alignment vertical="center"/>
    </xf>
    <xf numFmtId="43" fontId="6" fillId="5" borderId="9" xfId="15" applyFont="1" applyFill="1" applyBorder="1" applyAlignment="1">
      <alignment horizontal="right" vertical="center"/>
    </xf>
    <xf numFmtId="178" fontId="23" fillId="5" borderId="9" xfId="0" applyNumberFormat="1" applyFont="1" applyFill="1" applyBorder="1" applyAlignment="1">
      <alignment vertical="center"/>
    </xf>
    <xf numFmtId="178" fontId="21" fillId="5" borderId="9" xfId="0" applyNumberFormat="1" applyFont="1" applyFill="1" applyBorder="1" applyAlignment="1">
      <alignment horizontal="right" vertical="center" wrapText="1" shrinkToFit="1"/>
    </xf>
    <xf numFmtId="190" fontId="6" fillId="5" borderId="9" xfId="15" applyNumberFormat="1" applyFont="1" applyFill="1" applyBorder="1" applyAlignment="1">
      <alignment horizontal="right" vertical="center" wrapText="1" shrinkToFit="1"/>
    </xf>
    <xf numFmtId="10" fontId="6" fillId="5" borderId="10" xfId="21" applyNumberFormat="1" applyFont="1" applyFill="1" applyBorder="1" applyAlignment="1">
      <alignment horizontal="right" vertical="center" wrapText="1" shrinkToFit="1"/>
    </xf>
    <xf numFmtId="179" fontId="34" fillId="5" borderId="9" xfId="0" applyNumberFormat="1" applyFont="1" applyFill="1" applyBorder="1" applyAlignment="1">
      <alignment horizontal="center" vertical="center"/>
    </xf>
    <xf numFmtId="0" fontId="5" fillId="5" borderId="8" xfId="0" applyFont="1" applyFill="1" applyBorder="1" applyAlignment="1">
      <alignment vertical="center"/>
    </xf>
    <xf numFmtId="0" fontId="5" fillId="5" borderId="9" xfId="0" applyFont="1" applyFill="1" applyBorder="1" applyAlignment="1">
      <alignment vertical="center"/>
    </xf>
    <xf numFmtId="178" fontId="5" fillId="5" borderId="10" xfId="0" applyNumberFormat="1" applyFont="1" applyFill="1" applyBorder="1" applyAlignment="1">
      <alignment vertical="center"/>
    </xf>
    <xf numFmtId="199" fontId="8" fillId="0" borderId="9" xfId="0" applyNumberFormat="1" applyFont="1" applyBorder="1" applyAlignment="1">
      <alignment horizontal="right" vertical="center"/>
    </xf>
    <xf numFmtId="199" fontId="8" fillId="0" borderId="9" xfId="15" applyNumberFormat="1" applyFont="1" applyBorder="1" applyAlignment="1">
      <alignment horizontal="right" vertical="center"/>
    </xf>
    <xf numFmtId="188" fontId="8" fillId="0" borderId="9" xfId="15" applyNumberFormat="1" applyFont="1" applyBorder="1" applyAlignment="1">
      <alignment horizontal="right" vertical="center"/>
    </xf>
    <xf numFmtId="188" fontId="8" fillId="0" borderId="11" xfId="15" applyNumberFormat="1" applyFont="1" applyBorder="1" applyAlignment="1">
      <alignment horizontal="right" vertical="center"/>
    </xf>
    <xf numFmtId="178" fontId="7" fillId="0" borderId="9" xfId="0" applyNumberFormat="1" applyFont="1" applyBorder="1" applyAlignment="1">
      <alignment vertical="center"/>
    </xf>
    <xf numFmtId="43" fontId="8" fillId="0" borderId="11" xfId="15" applyFont="1" applyBorder="1" applyAlignment="1">
      <alignment horizontal="right" vertical="center"/>
    </xf>
    <xf numFmtId="43" fontId="7" fillId="3" borderId="9" xfId="15" applyFont="1" applyFill="1" applyBorder="1" applyAlignment="1">
      <alignment vertical="center"/>
    </xf>
    <xf numFmtId="43" fontId="8" fillId="3" borderId="9" xfId="15" applyFont="1" applyFill="1" applyBorder="1" applyAlignment="1">
      <alignment vertical="center"/>
    </xf>
    <xf numFmtId="43" fontId="7" fillId="3" borderId="12" xfId="15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vertical="center"/>
    </xf>
    <xf numFmtId="178" fontId="9" fillId="3" borderId="9" xfId="0" applyNumberFormat="1" applyFont="1" applyFill="1" applyBorder="1" applyAlignment="1">
      <alignment vertical="center"/>
    </xf>
    <xf numFmtId="43" fontId="8" fillId="3" borderId="11" xfId="15" applyFont="1" applyFill="1" applyBorder="1" applyAlignment="1">
      <alignment vertical="center"/>
    </xf>
    <xf numFmtId="43" fontId="7" fillId="0" borderId="0" xfId="15" applyFont="1" applyFill="1" applyBorder="1" applyAlignment="1">
      <alignment/>
    </xf>
    <xf numFmtId="43" fontId="7" fillId="3" borderId="9" xfId="15" applyFont="1" applyFill="1" applyBorder="1" applyAlignment="1">
      <alignment/>
    </xf>
    <xf numFmtId="43" fontId="9" fillId="3" borderId="9" xfId="15" applyFont="1" applyFill="1" applyBorder="1" applyAlignment="1">
      <alignment vertical="center"/>
    </xf>
    <xf numFmtId="43" fontId="7" fillId="3" borderId="13" xfId="15" applyFont="1" applyFill="1" applyBorder="1" applyAlignment="1">
      <alignment vertical="center"/>
    </xf>
    <xf numFmtId="43" fontId="7" fillId="3" borderId="9" xfId="15" applyFont="1" applyFill="1" applyBorder="1" applyAlignment="1">
      <alignment horizontal="right" vertical="center"/>
    </xf>
    <xf numFmtId="178" fontId="24" fillId="3" borderId="9" xfId="0" applyNumberFormat="1" applyFont="1" applyFill="1" applyBorder="1" applyAlignment="1">
      <alignment vertical="center"/>
    </xf>
    <xf numFmtId="178" fontId="22" fillId="3" borderId="9" xfId="0" applyNumberFormat="1" applyFont="1" applyFill="1" applyBorder="1" applyAlignment="1">
      <alignment horizontal="right" vertical="center" wrapText="1" shrinkToFit="1"/>
    </xf>
    <xf numFmtId="190" fontId="7" fillId="3" borderId="9" xfId="15" applyNumberFormat="1" applyFont="1" applyFill="1" applyBorder="1" applyAlignment="1">
      <alignment horizontal="right" vertical="center" wrapText="1" shrinkToFit="1"/>
    </xf>
    <xf numFmtId="10" fontId="7" fillId="3" borderId="10" xfId="21" applyNumberFormat="1" applyFont="1" applyFill="1" applyBorder="1" applyAlignment="1">
      <alignment horizontal="right" vertical="center" wrapText="1" shrinkToFit="1"/>
    </xf>
    <xf numFmtId="0" fontId="52" fillId="0" borderId="17" xfId="0" applyFont="1" applyBorder="1" applyAlignment="1">
      <alignment horizontal="center"/>
    </xf>
    <xf numFmtId="43" fontId="63" fillId="0" borderId="9" xfId="15" applyFont="1" applyFill="1" applyBorder="1" applyAlignment="1">
      <alignment vertical="center"/>
    </xf>
    <xf numFmtId="43" fontId="9" fillId="0" borderId="11" xfId="15" applyFont="1" applyFill="1" applyBorder="1" applyAlignment="1">
      <alignment vertical="center"/>
    </xf>
    <xf numFmtId="43" fontId="63" fillId="0" borderId="12" xfId="15" applyFont="1" applyFill="1" applyBorder="1" applyAlignment="1">
      <alignment vertical="center"/>
    </xf>
    <xf numFmtId="43" fontId="63" fillId="0" borderId="9" xfId="15" applyFont="1" applyFill="1" applyBorder="1" applyAlignment="1">
      <alignment/>
    </xf>
    <xf numFmtId="43" fontId="63" fillId="0" borderId="11" xfId="15" applyFont="1" applyFill="1" applyBorder="1" applyAlignment="1">
      <alignment vertical="center"/>
    </xf>
    <xf numFmtId="43" fontId="63" fillId="0" borderId="13" xfId="15" applyFont="1" applyFill="1" applyBorder="1" applyAlignment="1">
      <alignment vertical="center"/>
    </xf>
    <xf numFmtId="43" fontId="63" fillId="0" borderId="9" xfId="15" applyFont="1" applyBorder="1" applyAlignment="1">
      <alignment vertical="center"/>
    </xf>
    <xf numFmtId="43" fontId="63" fillId="0" borderId="9" xfId="15" applyFont="1" applyBorder="1" applyAlignment="1">
      <alignment horizontal="right" vertical="center"/>
    </xf>
    <xf numFmtId="178" fontId="63" fillId="0" borderId="9" xfId="0" applyNumberFormat="1" applyFont="1" applyBorder="1" applyAlignment="1">
      <alignment vertical="center"/>
    </xf>
    <xf numFmtId="178" fontId="67" fillId="0" borderId="9" xfId="0" applyNumberFormat="1" applyFont="1" applyBorder="1" applyAlignment="1">
      <alignment horizontal="right" vertical="center" wrapText="1" shrinkToFit="1"/>
    </xf>
    <xf numFmtId="190" fontId="63" fillId="0" borderId="9" xfId="15" applyNumberFormat="1" applyFont="1" applyBorder="1" applyAlignment="1">
      <alignment horizontal="right" vertical="center" wrapText="1" shrinkToFit="1"/>
    </xf>
    <xf numFmtId="10" fontId="63" fillId="0" borderId="10" xfId="21" applyNumberFormat="1" applyFont="1" applyBorder="1" applyAlignment="1">
      <alignment horizontal="right" vertical="center" wrapText="1" shrinkToFit="1"/>
    </xf>
    <xf numFmtId="43" fontId="10" fillId="0" borderId="11" xfId="15" applyFont="1" applyBorder="1" applyAlignment="1">
      <alignment vertical="center"/>
    </xf>
    <xf numFmtId="43" fontId="11" fillId="0" borderId="9" xfId="15" applyFont="1" applyBorder="1" applyAlignment="1">
      <alignment vertical="center"/>
    </xf>
    <xf numFmtId="43" fontId="11" fillId="0" borderId="13" xfId="15" applyFont="1" applyBorder="1" applyAlignment="1">
      <alignment vertical="center"/>
    </xf>
    <xf numFmtId="188" fontId="5" fillId="0" borderId="9" xfId="0" applyNumberFormat="1" applyFont="1" applyBorder="1" applyAlignment="1">
      <alignment vertical="center"/>
    </xf>
    <xf numFmtId="199" fontId="5" fillId="0" borderId="9" xfId="0" applyNumberFormat="1" applyFont="1" applyBorder="1" applyAlignment="1">
      <alignment vertical="center"/>
    </xf>
    <xf numFmtId="199" fontId="6" fillId="0" borderId="39" xfId="15" applyNumberFormat="1" applyFont="1" applyFill="1" applyBorder="1" applyAlignment="1">
      <alignment/>
    </xf>
    <xf numFmtId="199" fontId="6" fillId="0" borderId="39" xfId="15" applyNumberFormat="1" applyFont="1" applyFill="1" applyBorder="1" applyAlignment="1">
      <alignment vertical="center"/>
    </xf>
    <xf numFmtId="199" fontId="6" fillId="0" borderId="13" xfId="15" applyNumberFormat="1" applyFont="1" applyFill="1" applyBorder="1" applyAlignment="1">
      <alignment vertical="center"/>
    </xf>
    <xf numFmtId="178" fontId="6" fillId="0" borderId="38" xfId="0" applyNumberFormat="1" applyFont="1" applyBorder="1" applyAlignment="1">
      <alignment vertical="center"/>
    </xf>
    <xf numFmtId="43" fontId="5" fillId="0" borderId="23" xfId="15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43" fontId="64" fillId="0" borderId="0" xfId="15" applyFont="1" applyAlignment="1">
      <alignment vertical="center"/>
    </xf>
    <xf numFmtId="43" fontId="8" fillId="0" borderId="0" xfId="15" applyFont="1" applyAlignment="1">
      <alignment vertical="center"/>
    </xf>
    <xf numFmtId="43" fontId="17" fillId="0" borderId="0" xfId="15" applyFont="1" applyBorder="1" applyAlignment="1">
      <alignment vertical="center"/>
    </xf>
    <xf numFmtId="43" fontId="68" fillId="0" borderId="0" xfId="15" applyFont="1" applyFill="1" applyBorder="1" applyAlignment="1">
      <alignment vertical="center"/>
    </xf>
    <xf numFmtId="43" fontId="49" fillId="0" borderId="0" xfId="15" applyFont="1" applyBorder="1" applyAlignment="1">
      <alignment vertical="center"/>
    </xf>
    <xf numFmtId="43" fontId="9" fillId="0" borderId="7" xfId="15" applyFont="1" applyFill="1" applyBorder="1" applyAlignment="1">
      <alignment vertical="center"/>
    </xf>
    <xf numFmtId="0" fontId="7" fillId="0" borderId="0" xfId="0" applyFont="1" applyAlignment="1">
      <alignment vertical="center"/>
    </xf>
    <xf numFmtId="43" fontId="7" fillId="0" borderId="0" xfId="15" applyFont="1" applyAlignment="1">
      <alignment vertical="center"/>
    </xf>
    <xf numFmtId="0" fontId="64" fillId="0" borderId="0" xfId="0" applyFont="1" applyBorder="1" applyAlignment="1">
      <alignment vertical="center"/>
    </xf>
    <xf numFmtId="43" fontId="64" fillId="0" borderId="0" xfId="15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3" fontId="7" fillId="0" borderId="7" xfId="15" applyFont="1" applyBorder="1" applyAlignment="1">
      <alignment vertical="center"/>
    </xf>
    <xf numFmtId="0" fontId="69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178" fontId="6" fillId="0" borderId="0" xfId="0" applyNumberFormat="1" applyFont="1" applyBorder="1" applyAlignment="1">
      <alignment horizontal="left"/>
    </xf>
    <xf numFmtId="188" fontId="6" fillId="0" borderId="12" xfId="15" applyNumberFormat="1" applyFont="1" applyFill="1" applyBorder="1" applyAlignment="1">
      <alignment vertical="center"/>
    </xf>
    <xf numFmtId="178" fontId="8" fillId="0" borderId="8" xfId="0" applyNumberFormat="1" applyFont="1" applyBorder="1" applyAlignment="1">
      <alignment horizontal="left" vertical="center"/>
    </xf>
    <xf numFmtId="188" fontId="6" fillId="0" borderId="9" xfId="15" applyNumberFormat="1" applyFont="1" applyFill="1" applyBorder="1" applyAlignment="1">
      <alignment vertical="center"/>
    </xf>
    <xf numFmtId="199" fontId="6" fillId="0" borderId="9" xfId="15" applyNumberFormat="1" applyFont="1" applyFill="1" applyBorder="1" applyAlignment="1">
      <alignment vertical="center"/>
    </xf>
    <xf numFmtId="199" fontId="5" fillId="0" borderId="9" xfId="15" applyNumberFormat="1" applyFont="1" applyFill="1" applyBorder="1" applyAlignment="1">
      <alignment vertical="center"/>
    </xf>
    <xf numFmtId="188" fontId="5" fillId="0" borderId="9" xfId="15" applyNumberFormat="1" applyFont="1" applyFill="1" applyBorder="1" applyAlignment="1">
      <alignment vertical="center"/>
    </xf>
    <xf numFmtId="178" fontId="6" fillId="0" borderId="0" xfId="0" applyNumberFormat="1" applyFont="1" applyBorder="1" applyAlignment="1">
      <alignment vertical="center" wrapText="1"/>
    </xf>
    <xf numFmtId="199" fontId="5" fillId="0" borderId="9" xfId="0" applyNumberFormat="1" applyFont="1" applyBorder="1" applyAlignment="1">
      <alignment horizontal="left" vertical="center"/>
    </xf>
    <xf numFmtId="199" fontId="5" fillId="0" borderId="11" xfId="0" applyNumberFormat="1" applyFont="1" applyBorder="1" applyAlignment="1">
      <alignment vertical="center"/>
    </xf>
    <xf numFmtId="0" fontId="6" fillId="0" borderId="0" xfId="0" applyFont="1" applyAlignment="1">
      <alignment vertical="center" wrapText="1"/>
    </xf>
    <xf numFmtId="43" fontId="5" fillId="0" borderId="11" xfId="15" applyFont="1" applyBorder="1" applyAlignment="1">
      <alignment/>
    </xf>
    <xf numFmtId="43" fontId="5" fillId="0" borderId="0" xfId="15" applyFont="1" applyBorder="1" applyAlignment="1">
      <alignment/>
    </xf>
    <xf numFmtId="0" fontId="5" fillId="0" borderId="0" xfId="0" applyFont="1" applyBorder="1" applyAlignment="1">
      <alignment/>
    </xf>
    <xf numFmtId="178" fontId="5" fillId="0" borderId="11" xfId="0" applyNumberFormat="1" applyFont="1" applyBorder="1" applyAlignment="1">
      <alignment/>
    </xf>
    <xf numFmtId="43" fontId="8" fillId="0" borderId="11" xfId="15" applyFont="1" applyBorder="1" applyAlignment="1">
      <alignment horizontal="right"/>
    </xf>
    <xf numFmtId="43" fontId="8" fillId="0" borderId="11" xfId="15" applyFont="1" applyFill="1" applyBorder="1" applyAlignment="1">
      <alignment/>
    </xf>
    <xf numFmtId="43" fontId="5" fillId="5" borderId="11" xfId="15" applyFont="1" applyFill="1" applyBorder="1" applyAlignment="1">
      <alignment/>
    </xf>
    <xf numFmtId="0" fontId="5" fillId="4" borderId="0" xfId="0" applyFont="1" applyFill="1" applyBorder="1" applyAlignment="1">
      <alignment/>
    </xf>
    <xf numFmtId="43" fontId="5" fillId="3" borderId="11" xfId="15" applyFont="1" applyFill="1" applyBorder="1" applyAlignment="1">
      <alignment/>
    </xf>
    <xf numFmtId="43" fontId="10" fillId="0" borderId="11" xfId="15" applyFont="1" applyBorder="1" applyAlignment="1">
      <alignment/>
    </xf>
    <xf numFmtId="188" fontId="5" fillId="0" borderId="11" xfId="15" applyNumberFormat="1" applyFont="1" applyFill="1" applyBorder="1" applyAlignment="1">
      <alignment vertical="center"/>
    </xf>
    <xf numFmtId="199" fontId="5" fillId="0" borderId="11" xfId="15" applyNumberFormat="1" applyFont="1" applyFill="1" applyBorder="1" applyAlignment="1">
      <alignment vertical="center"/>
    </xf>
    <xf numFmtId="199" fontId="10" fillId="0" borderId="9" xfId="0" applyNumberFormat="1" applyFont="1" applyFill="1" applyBorder="1" applyAlignment="1">
      <alignment vertical="center"/>
    </xf>
    <xf numFmtId="188" fontId="6" fillId="0" borderId="9" xfId="15" applyNumberFormat="1" applyFont="1" applyFill="1" applyBorder="1" applyAlignment="1">
      <alignment/>
    </xf>
    <xf numFmtId="199" fontId="6" fillId="0" borderId="9" xfId="15" applyNumberFormat="1" applyFont="1" applyFill="1" applyBorder="1" applyAlignment="1">
      <alignment/>
    </xf>
    <xf numFmtId="188" fontId="7" fillId="0" borderId="9" xfId="15" applyNumberFormat="1" applyFont="1" applyFill="1" applyBorder="1" applyAlignment="1">
      <alignment vertical="center"/>
    </xf>
    <xf numFmtId="188" fontId="8" fillId="0" borderId="9" xfId="15" applyNumberFormat="1" applyFont="1" applyFill="1" applyBorder="1" applyAlignment="1">
      <alignment vertical="center"/>
    </xf>
    <xf numFmtId="188" fontId="7" fillId="0" borderId="12" xfId="15" applyNumberFormat="1" applyFont="1" applyFill="1" applyBorder="1" applyAlignment="1">
      <alignment vertical="center"/>
    </xf>
    <xf numFmtId="199" fontId="8" fillId="0" borderId="9" xfId="15" applyNumberFormat="1" applyFont="1" applyFill="1" applyBorder="1" applyAlignment="1">
      <alignment vertical="center"/>
    </xf>
    <xf numFmtId="199" fontId="9" fillId="0" borderId="9" xfId="0" applyNumberFormat="1" applyFont="1" applyFill="1" applyBorder="1" applyAlignment="1">
      <alignment vertical="center"/>
    </xf>
    <xf numFmtId="199" fontId="8" fillId="0" borderId="11" xfId="15" applyNumberFormat="1" applyFont="1" applyFill="1" applyBorder="1" applyAlignment="1">
      <alignment vertical="center"/>
    </xf>
    <xf numFmtId="188" fontId="7" fillId="0" borderId="9" xfId="15" applyNumberFormat="1" applyFont="1" applyFill="1" applyBorder="1" applyAlignment="1">
      <alignment/>
    </xf>
    <xf numFmtId="199" fontId="7" fillId="0" borderId="9" xfId="15" applyNumberFormat="1" applyFont="1" applyFill="1" applyBorder="1" applyAlignment="1">
      <alignment/>
    </xf>
    <xf numFmtId="199" fontId="7" fillId="0" borderId="9" xfId="15" applyNumberFormat="1" applyFont="1" applyFill="1" applyBorder="1" applyAlignment="1">
      <alignment vertical="center"/>
    </xf>
    <xf numFmtId="188" fontId="8" fillId="0" borderId="11" xfId="15" applyNumberFormat="1" applyFont="1" applyFill="1" applyBorder="1" applyAlignment="1">
      <alignment vertical="center"/>
    </xf>
    <xf numFmtId="188" fontId="7" fillId="0" borderId="13" xfId="15" applyNumberFormat="1" applyFont="1" applyFill="1" applyBorder="1" applyAlignment="1">
      <alignment vertical="center"/>
    </xf>
    <xf numFmtId="188" fontId="7" fillId="0" borderId="9" xfId="15" applyNumberFormat="1" applyFont="1" applyBorder="1" applyAlignment="1">
      <alignment vertical="center"/>
    </xf>
    <xf numFmtId="188" fontId="6" fillId="0" borderId="9" xfId="15" applyNumberFormat="1" applyFont="1" applyBorder="1" applyAlignment="1">
      <alignment vertical="center"/>
    </xf>
    <xf numFmtId="188" fontId="7" fillId="0" borderId="9" xfId="15" applyNumberFormat="1" applyFont="1" applyBorder="1" applyAlignment="1">
      <alignment horizontal="right" vertical="center"/>
    </xf>
    <xf numFmtId="188" fontId="5" fillId="0" borderId="9" xfId="15" applyNumberFormat="1" applyFont="1" applyBorder="1" applyAlignment="1">
      <alignment vertical="center"/>
    </xf>
    <xf numFmtId="188" fontId="6" fillId="0" borderId="13" xfId="15" applyNumberFormat="1" applyFont="1" applyBorder="1" applyAlignment="1">
      <alignment vertical="center"/>
    </xf>
    <xf numFmtId="199" fontId="5" fillId="0" borderId="9" xfId="15" applyNumberFormat="1" applyFont="1" applyBorder="1" applyAlignment="1">
      <alignment vertical="center"/>
    </xf>
    <xf numFmtId="199" fontId="5" fillId="0" borderId="11" xfId="15" applyNumberFormat="1" applyFont="1" applyBorder="1" applyAlignment="1">
      <alignment vertical="center"/>
    </xf>
    <xf numFmtId="188" fontId="8" fillId="0" borderId="9" xfId="15" applyNumberFormat="1" applyFont="1" applyBorder="1" applyAlignment="1">
      <alignment vertical="center"/>
    </xf>
    <xf numFmtId="188" fontId="8" fillId="0" borderId="11" xfId="15" applyNumberFormat="1" applyFont="1" applyBorder="1" applyAlignment="1">
      <alignment vertical="center"/>
    </xf>
    <xf numFmtId="188" fontId="7" fillId="0" borderId="13" xfId="15" applyNumberFormat="1" applyFont="1" applyBorder="1" applyAlignment="1">
      <alignment vertical="center"/>
    </xf>
    <xf numFmtId="199" fontId="8" fillId="0" borderId="9" xfId="15" applyNumberFormat="1" applyFont="1" applyBorder="1" applyAlignment="1">
      <alignment vertical="center"/>
    </xf>
    <xf numFmtId="199" fontId="8" fillId="0" borderId="11" xfId="15" applyNumberFormat="1" applyFont="1" applyBorder="1" applyAlignment="1">
      <alignment vertical="center"/>
    </xf>
    <xf numFmtId="199" fontId="8" fillId="0" borderId="11" xfId="15" applyNumberFormat="1" applyFont="1" applyBorder="1" applyAlignment="1">
      <alignment/>
    </xf>
    <xf numFmtId="188" fontId="5" fillId="0" borderId="0" xfId="0" applyNumberFormat="1" applyFont="1" applyAlignment="1">
      <alignment vertical="center"/>
    </xf>
    <xf numFmtId="188" fontId="5" fillId="0" borderId="0" xfId="15" applyNumberFormat="1" applyFont="1" applyBorder="1" applyAlignment="1">
      <alignment vertical="center"/>
    </xf>
    <xf numFmtId="199" fontId="5" fillId="0" borderId="0" xfId="0" applyNumberFormat="1" applyFont="1" applyAlignment="1">
      <alignment vertical="center"/>
    </xf>
    <xf numFmtId="199" fontId="5" fillId="0" borderId="0" xfId="15" applyNumberFormat="1" applyFont="1" applyBorder="1" applyAlignment="1">
      <alignment vertical="center"/>
    </xf>
    <xf numFmtId="199" fontId="6" fillId="0" borderId="0" xfId="0" applyNumberFormat="1" applyFont="1" applyAlignment="1">
      <alignment vertical="center"/>
    </xf>
    <xf numFmtId="199" fontId="14" fillId="0" borderId="0" xfId="0" applyNumberFormat="1" applyFont="1" applyAlignment="1">
      <alignment vertical="center"/>
    </xf>
    <xf numFmtId="199" fontId="5" fillId="0" borderId="11" xfId="15" applyNumberFormat="1" applyFont="1" applyBorder="1" applyAlignment="1">
      <alignment/>
    </xf>
    <xf numFmtId="199" fontId="5" fillId="0" borderId="0" xfId="0" applyNumberFormat="1" applyFont="1" applyAlignment="1">
      <alignment/>
    </xf>
    <xf numFmtId="199" fontId="5" fillId="0" borderId="0" xfId="15" applyNumberFormat="1" applyFont="1" applyBorder="1" applyAlignment="1">
      <alignment/>
    </xf>
    <xf numFmtId="199" fontId="6" fillId="0" borderId="13" xfId="15" applyNumberFormat="1" applyFont="1" applyBorder="1" applyAlignment="1">
      <alignment vertical="center"/>
    </xf>
    <xf numFmtId="199" fontId="7" fillId="0" borderId="13" xfId="15" applyNumberFormat="1" applyFont="1" applyBorder="1" applyAlignment="1">
      <alignment vertical="center"/>
    </xf>
    <xf numFmtId="188" fontId="6" fillId="0" borderId="0" xfId="15" applyNumberFormat="1" applyFont="1" applyBorder="1" applyAlignment="1">
      <alignment vertical="center"/>
    </xf>
    <xf numFmtId="178" fontId="6" fillId="0" borderId="0" xfId="0" applyNumberFormat="1" applyFont="1" applyBorder="1" applyAlignment="1">
      <alignment vertical="top" wrapText="1"/>
    </xf>
    <xf numFmtId="178" fontId="6" fillId="0" borderId="0" xfId="0" applyNumberFormat="1" applyFont="1" applyBorder="1" applyAlignment="1">
      <alignment/>
    </xf>
    <xf numFmtId="188" fontId="7" fillId="0" borderId="39" xfId="15" applyNumberFormat="1" applyFont="1" applyFill="1" applyBorder="1" applyAlignment="1">
      <alignment/>
    </xf>
    <xf numFmtId="178" fontId="10" fillId="4" borderId="0" xfId="0" applyNumberFormat="1" applyFont="1" applyFill="1" applyAlignment="1">
      <alignment/>
    </xf>
    <xf numFmtId="43" fontId="19" fillId="2" borderId="40" xfId="15" applyFont="1" applyFill="1" applyBorder="1" applyAlignment="1">
      <alignment vertical="center"/>
    </xf>
    <xf numFmtId="43" fontId="19" fillId="2" borderId="41" xfId="15" applyFont="1" applyFill="1" applyBorder="1" applyAlignment="1">
      <alignment vertical="center"/>
    </xf>
    <xf numFmtId="43" fontId="6" fillId="2" borderId="41" xfId="15" applyFont="1" applyFill="1" applyBorder="1" applyAlignment="1">
      <alignment vertical="center"/>
    </xf>
    <xf numFmtId="43" fontId="6" fillId="2" borderId="42" xfId="15" applyFont="1" applyFill="1" applyBorder="1" applyAlignment="1">
      <alignment vertical="center"/>
    </xf>
    <xf numFmtId="43" fontId="19" fillId="2" borderId="23" xfId="15" applyFont="1" applyFill="1" applyBorder="1" applyAlignment="1">
      <alignment vertical="center"/>
    </xf>
    <xf numFmtId="43" fontId="5" fillId="2" borderId="40" xfId="15" applyFont="1" applyFill="1" applyBorder="1" applyAlignment="1">
      <alignment vertical="center"/>
    </xf>
    <xf numFmtId="43" fontId="5" fillId="2" borderId="41" xfId="15" applyFont="1" applyFill="1" applyBorder="1" applyAlignment="1">
      <alignment vertical="center"/>
    </xf>
    <xf numFmtId="43" fontId="6" fillId="2" borderId="43" xfId="15" applyFont="1" applyFill="1" applyBorder="1" applyAlignment="1">
      <alignment vertical="center"/>
    </xf>
    <xf numFmtId="43" fontId="5" fillId="2" borderId="44" xfId="15" applyFont="1" applyFill="1" applyBorder="1" applyAlignment="1">
      <alignment vertical="center"/>
    </xf>
    <xf numFmtId="43" fontId="5" fillId="0" borderId="11" xfId="15" applyFont="1" applyFill="1" applyBorder="1" applyAlignment="1">
      <alignment/>
    </xf>
    <xf numFmtId="179" fontId="24" fillId="0" borderId="16" xfId="0" applyNumberFormat="1" applyFont="1" applyBorder="1" applyAlignment="1">
      <alignment horizontal="center" vertical="center"/>
    </xf>
    <xf numFmtId="178" fontId="7" fillId="0" borderId="14" xfId="0" applyNumberFormat="1" applyFont="1" applyBorder="1" applyAlignment="1">
      <alignment horizontal="center" vertical="center"/>
    </xf>
    <xf numFmtId="178" fontId="7" fillId="0" borderId="19" xfId="0" applyNumberFormat="1" applyFont="1" applyBorder="1" applyAlignment="1">
      <alignment horizontal="center" vertical="center"/>
    </xf>
    <xf numFmtId="178" fontId="71" fillId="0" borderId="21" xfId="0" applyNumberFormat="1" applyFont="1" applyBorder="1" applyAlignment="1">
      <alignment horizontal="center" vertical="center"/>
    </xf>
    <xf numFmtId="43" fontId="8" fillId="0" borderId="23" xfId="15" applyFont="1" applyFill="1" applyBorder="1" applyAlignment="1">
      <alignment vertical="center"/>
    </xf>
    <xf numFmtId="43" fontId="7" fillId="2" borderId="23" xfId="15" applyFont="1" applyFill="1" applyBorder="1" applyAlignment="1">
      <alignment vertical="center"/>
    </xf>
    <xf numFmtId="43" fontId="8" fillId="0" borderId="23" xfId="15" applyFont="1" applyBorder="1" applyAlignment="1">
      <alignment vertical="center"/>
    </xf>
    <xf numFmtId="43" fontId="9" fillId="0" borderId="23" xfId="15" applyFont="1" applyBorder="1" applyAlignment="1">
      <alignment vertical="center"/>
    </xf>
    <xf numFmtId="43" fontId="61" fillId="0" borderId="23" xfId="15" applyFont="1" applyBorder="1" applyAlignment="1">
      <alignment vertical="center"/>
    </xf>
    <xf numFmtId="43" fontId="61" fillId="0" borderId="25" xfId="15" applyFont="1" applyBorder="1" applyAlignment="1">
      <alignment vertical="center"/>
    </xf>
    <xf numFmtId="178" fontId="7" fillId="0" borderId="14" xfId="0" applyNumberFormat="1" applyFont="1" applyFill="1" applyBorder="1" applyAlignment="1">
      <alignment horizontal="center" vertical="center"/>
    </xf>
    <xf numFmtId="196" fontId="7" fillId="0" borderId="19" xfId="0" applyNumberFormat="1" applyFont="1" applyBorder="1" applyAlignment="1">
      <alignment horizontal="center" vertical="center"/>
    </xf>
    <xf numFmtId="178" fontId="7" fillId="0" borderId="45" xfId="0" applyNumberFormat="1" applyFont="1" applyFill="1" applyBorder="1" applyAlignment="1">
      <alignment horizontal="center" vertical="center"/>
    </xf>
    <xf numFmtId="178" fontId="7" fillId="0" borderId="36" xfId="0" applyNumberFormat="1" applyFont="1" applyFill="1" applyBorder="1" applyAlignment="1">
      <alignment horizontal="center" vertical="center"/>
    </xf>
    <xf numFmtId="178" fontId="7" fillId="0" borderId="37" xfId="0" applyNumberFormat="1" applyFont="1" applyBorder="1" applyAlignment="1">
      <alignment horizontal="center" vertical="center"/>
    </xf>
    <xf numFmtId="178" fontId="71" fillId="0" borderId="46" xfId="0" applyNumberFormat="1" applyFont="1" applyBorder="1" applyAlignment="1">
      <alignment horizontal="center" vertical="center"/>
    </xf>
    <xf numFmtId="43" fontId="8" fillId="0" borderId="47" xfId="15" applyFont="1" applyFill="1" applyBorder="1" applyAlignment="1">
      <alignment vertical="center"/>
    </xf>
    <xf numFmtId="43" fontId="7" fillId="2" borderId="47" xfId="15" applyFont="1" applyFill="1" applyBorder="1" applyAlignment="1">
      <alignment vertical="center"/>
    </xf>
    <xf numFmtId="43" fontId="8" fillId="0" borderId="47" xfId="15" applyFont="1" applyBorder="1" applyAlignment="1">
      <alignment vertical="center"/>
    </xf>
    <xf numFmtId="43" fontId="8" fillId="0" borderId="47" xfId="15" applyFont="1" applyBorder="1" applyAlignment="1">
      <alignment horizontal="right" vertical="center"/>
    </xf>
    <xf numFmtId="43" fontId="61" fillId="0" borderId="47" xfId="15" applyFont="1" applyBorder="1" applyAlignment="1">
      <alignment vertical="center"/>
    </xf>
    <xf numFmtId="43" fontId="61" fillId="0" borderId="48" xfId="15" applyFont="1" applyBorder="1" applyAlignment="1">
      <alignment vertical="center"/>
    </xf>
    <xf numFmtId="43" fontId="8" fillId="2" borderId="21" xfId="15" applyFont="1" applyFill="1" applyBorder="1" applyAlignment="1">
      <alignment vertical="center"/>
    </xf>
    <xf numFmtId="43" fontId="8" fillId="2" borderId="23" xfId="15" applyFont="1" applyFill="1" applyBorder="1" applyAlignment="1">
      <alignment vertical="center"/>
    </xf>
    <xf numFmtId="43" fontId="8" fillId="2" borderId="25" xfId="15" applyFont="1" applyFill="1" applyBorder="1" applyAlignment="1">
      <alignment vertical="center"/>
    </xf>
    <xf numFmtId="43" fontId="24" fillId="0" borderId="0" xfId="15" applyFont="1" applyAlignment="1">
      <alignment vertical="center"/>
    </xf>
    <xf numFmtId="188" fontId="24" fillId="0" borderId="0" xfId="0" applyNumberFormat="1" applyFont="1" applyAlignment="1">
      <alignment vertical="center"/>
    </xf>
    <xf numFmtId="179" fontId="24" fillId="0" borderId="45" xfId="0" applyNumberFormat="1" applyFont="1" applyBorder="1" applyAlignment="1">
      <alignment horizontal="center" vertical="center"/>
    </xf>
    <xf numFmtId="178" fontId="7" fillId="0" borderId="19" xfId="0" applyNumberFormat="1" applyFont="1" applyFill="1" applyBorder="1" applyAlignment="1">
      <alignment horizontal="center" vertical="center"/>
    </xf>
    <xf numFmtId="178" fontId="7" fillId="0" borderId="37" xfId="0" applyNumberFormat="1" applyFont="1" applyFill="1" applyBorder="1" applyAlignment="1">
      <alignment horizontal="center" vertical="center"/>
    </xf>
    <xf numFmtId="43" fontId="8" fillId="2" borderId="46" xfId="15" applyFont="1" applyFill="1" applyBorder="1" applyAlignment="1">
      <alignment vertical="center"/>
    </xf>
    <xf numFmtId="43" fontId="8" fillId="2" borderId="47" xfId="15" applyFont="1" applyFill="1" applyBorder="1" applyAlignment="1">
      <alignment vertical="center"/>
    </xf>
    <xf numFmtId="43" fontId="8" fillId="2" borderId="48" xfId="15" applyFont="1" applyFill="1" applyBorder="1" applyAlignment="1">
      <alignment vertical="center"/>
    </xf>
    <xf numFmtId="178" fontId="7" fillId="0" borderId="0" xfId="0" applyNumberFormat="1" applyFont="1" applyBorder="1" applyAlignment="1">
      <alignment horizontal="center" vertical="center"/>
    </xf>
    <xf numFmtId="178" fontId="71" fillId="0" borderId="27" xfId="0" applyNumberFormat="1" applyFont="1" applyBorder="1" applyAlignment="1">
      <alignment horizontal="center" vertical="center"/>
    </xf>
    <xf numFmtId="186" fontId="8" fillId="2" borderId="0" xfId="15" applyNumberFormat="1" applyFont="1" applyFill="1" applyBorder="1" applyAlignment="1">
      <alignment vertical="center"/>
    </xf>
    <xf numFmtId="43" fontId="61" fillId="2" borderId="28" xfId="15" applyFont="1" applyFill="1" applyBorder="1" applyAlignment="1">
      <alignment vertical="center"/>
    </xf>
    <xf numFmtId="43" fontId="61" fillId="2" borderId="23" xfId="15" applyFont="1" applyFill="1" applyBorder="1" applyAlignment="1">
      <alignment vertical="center"/>
    </xf>
    <xf numFmtId="43" fontId="7" fillId="2" borderId="25" xfId="15" applyFont="1" applyFill="1" applyBorder="1" applyAlignment="1">
      <alignment vertical="center"/>
    </xf>
    <xf numFmtId="43" fontId="8" fillId="2" borderId="28" xfId="15" applyFont="1" applyFill="1" applyBorder="1" applyAlignment="1">
      <alignment vertical="center"/>
    </xf>
    <xf numFmtId="43" fontId="7" fillId="2" borderId="30" xfId="15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horizontal="center" vertical="center"/>
    </xf>
    <xf numFmtId="178" fontId="71" fillId="0" borderId="49" xfId="0" applyNumberFormat="1" applyFont="1" applyBorder="1" applyAlignment="1">
      <alignment horizontal="center" vertical="center"/>
    </xf>
    <xf numFmtId="43" fontId="61" fillId="2" borderId="50" xfId="15" applyFont="1" applyFill="1" applyBorder="1" applyAlignment="1">
      <alignment vertical="center"/>
    </xf>
    <xf numFmtId="43" fontId="61" fillId="2" borderId="47" xfId="15" applyFont="1" applyFill="1" applyBorder="1" applyAlignment="1">
      <alignment vertical="center"/>
    </xf>
    <xf numFmtId="43" fontId="7" fillId="2" borderId="48" xfId="15" applyFont="1" applyFill="1" applyBorder="1" applyAlignment="1">
      <alignment vertical="center"/>
    </xf>
    <xf numFmtId="43" fontId="8" fillId="2" borderId="50" xfId="15" applyFont="1" applyFill="1" applyBorder="1" applyAlignment="1">
      <alignment vertical="center"/>
    </xf>
    <xf numFmtId="43" fontId="7" fillId="2" borderId="51" xfId="15" applyFont="1" applyFill="1" applyBorder="1" applyAlignment="1">
      <alignment vertical="center"/>
    </xf>
    <xf numFmtId="43" fontId="6" fillId="0" borderId="23" xfId="15" applyFont="1" applyFill="1" applyBorder="1" applyAlignment="1">
      <alignment vertical="center"/>
    </xf>
    <xf numFmtId="43" fontId="7" fillId="0" borderId="23" xfId="15" applyFont="1" applyFill="1" applyBorder="1" applyAlignment="1">
      <alignment vertical="center"/>
    </xf>
    <xf numFmtId="43" fontId="7" fillId="0" borderId="47" xfId="15" applyFont="1" applyFill="1" applyBorder="1" applyAlignment="1">
      <alignment vertical="center"/>
    </xf>
    <xf numFmtId="178" fontId="72" fillId="0" borderId="0" xfId="0" applyNumberFormat="1" applyFont="1" applyAlignment="1">
      <alignment vertical="center"/>
    </xf>
    <xf numFmtId="178" fontId="73" fillId="0" borderId="0" xfId="0" applyNumberFormat="1" applyFont="1" applyFill="1" applyBorder="1" applyAlignment="1">
      <alignment horizontal="center" vertical="center"/>
    </xf>
    <xf numFmtId="178" fontId="73" fillId="0" borderId="7" xfId="0" applyNumberFormat="1" applyFont="1" applyFill="1" applyBorder="1" applyAlignment="1">
      <alignment horizontal="center" vertical="center"/>
    </xf>
    <xf numFmtId="43" fontId="74" fillId="0" borderId="9" xfId="15" applyFont="1" applyFill="1" applyBorder="1" applyAlignment="1">
      <alignment vertical="center"/>
    </xf>
    <xf numFmtId="43" fontId="74" fillId="0" borderId="0" xfId="15" applyFont="1" applyFill="1" applyBorder="1" applyAlignment="1">
      <alignment vertical="center"/>
    </xf>
    <xf numFmtId="43" fontId="74" fillId="0" borderId="52" xfId="15" applyFont="1" applyFill="1" applyBorder="1" applyAlignment="1">
      <alignment vertical="center"/>
    </xf>
    <xf numFmtId="43" fontId="74" fillId="0" borderId="53" xfId="15" applyFont="1" applyFill="1" applyBorder="1" applyAlignment="1">
      <alignment/>
    </xf>
    <xf numFmtId="43" fontId="74" fillId="0" borderId="53" xfId="15" applyFont="1" applyFill="1" applyBorder="1" applyAlignment="1">
      <alignment vertical="center"/>
    </xf>
    <xf numFmtId="43" fontId="74" fillId="0" borderId="13" xfId="15" applyFont="1" applyFill="1" applyBorder="1" applyAlignment="1">
      <alignment vertical="center"/>
    </xf>
    <xf numFmtId="43" fontId="76" fillId="0" borderId="0" xfId="15" applyFont="1" applyAlignment="1">
      <alignment vertical="center"/>
    </xf>
    <xf numFmtId="43" fontId="73" fillId="0" borderId="8" xfId="15" applyFont="1" applyBorder="1" applyAlignment="1">
      <alignment horizontal="center" vertical="center"/>
    </xf>
    <xf numFmtId="43" fontId="75" fillId="0" borderId="0" xfId="15" applyFont="1" applyAlignment="1">
      <alignment vertical="center"/>
    </xf>
    <xf numFmtId="43" fontId="73" fillId="0" borderId="4" xfId="15" applyFont="1" applyBorder="1" applyAlignment="1">
      <alignment horizontal="center" vertical="center"/>
    </xf>
    <xf numFmtId="43" fontId="73" fillId="0" borderId="9" xfId="15" applyFont="1" applyBorder="1" applyAlignment="1">
      <alignment horizontal="center" vertical="center"/>
    </xf>
    <xf numFmtId="43" fontId="75" fillId="0" borderId="0" xfId="15" applyFont="1" applyBorder="1" applyAlignment="1">
      <alignment vertical="center"/>
    </xf>
    <xf numFmtId="43" fontId="73" fillId="0" borderId="0" xfId="15" applyFont="1" applyBorder="1" applyAlignment="1">
      <alignment horizontal="center" vertical="center"/>
    </xf>
    <xf numFmtId="43" fontId="73" fillId="0" borderId="9" xfId="15" applyFont="1" applyFill="1" applyBorder="1" applyAlignment="1">
      <alignment horizontal="center" vertical="center"/>
    </xf>
    <xf numFmtId="43" fontId="73" fillId="0" borderId="0" xfId="15" applyFont="1" applyBorder="1" applyAlignment="1">
      <alignment vertical="center"/>
    </xf>
    <xf numFmtId="43" fontId="73" fillId="0" borderId="0" xfId="15" applyFont="1" applyFill="1" applyBorder="1" applyAlignment="1">
      <alignment horizontal="center" vertical="center"/>
    </xf>
    <xf numFmtId="43" fontId="73" fillId="0" borderId="10" xfId="15" applyFont="1" applyFill="1" applyBorder="1" applyAlignment="1">
      <alignment horizontal="center" vertical="center"/>
    </xf>
    <xf numFmtId="43" fontId="77" fillId="0" borderId="0" xfId="15" applyFont="1" applyBorder="1" applyAlignment="1">
      <alignment vertical="center"/>
    </xf>
    <xf numFmtId="43" fontId="73" fillId="0" borderId="7" xfId="15" applyFont="1" applyFill="1" applyBorder="1" applyAlignment="1">
      <alignment horizontal="center" vertical="center"/>
    </xf>
    <xf numFmtId="43" fontId="75" fillId="0" borderId="8" xfId="15" applyFont="1" applyBorder="1" applyAlignment="1">
      <alignment vertical="center"/>
    </xf>
    <xf numFmtId="43" fontId="74" fillId="0" borderId="9" xfId="15" applyFont="1" applyBorder="1" applyAlignment="1">
      <alignment vertical="center"/>
    </xf>
    <xf numFmtId="43" fontId="74" fillId="0" borderId="0" xfId="15" applyFont="1" applyAlignment="1">
      <alignment vertical="center"/>
    </xf>
    <xf numFmtId="43" fontId="74" fillId="0" borderId="0" xfId="15" applyFont="1" applyBorder="1" applyAlignment="1">
      <alignment vertical="center"/>
    </xf>
    <xf numFmtId="43" fontId="76" fillId="0" borderId="9" xfId="15" applyFont="1" applyBorder="1" applyAlignment="1">
      <alignment vertical="center"/>
    </xf>
    <xf numFmtId="43" fontId="76" fillId="0" borderId="0" xfId="15" applyFont="1" applyBorder="1" applyAlignment="1">
      <alignment vertical="center"/>
    </xf>
    <xf numFmtId="43" fontId="75" fillId="0" borderId="9" xfId="15" applyFont="1" applyBorder="1" applyAlignment="1">
      <alignment vertical="center"/>
    </xf>
    <xf numFmtId="43" fontId="75" fillId="0" borderId="11" xfId="15" applyFont="1" applyBorder="1" applyAlignment="1">
      <alignment vertical="center"/>
    </xf>
    <xf numFmtId="43" fontId="74" fillId="0" borderId="39" xfId="15" applyFont="1" applyBorder="1" applyAlignment="1">
      <alignment vertical="center"/>
    </xf>
    <xf numFmtId="43" fontId="74" fillId="0" borderId="13" xfId="15" applyFont="1" applyBorder="1" applyAlignment="1">
      <alignment vertical="center"/>
    </xf>
    <xf numFmtId="43" fontId="75" fillId="0" borderId="38" xfId="15" applyFont="1" applyBorder="1" applyAlignment="1">
      <alignment vertical="center"/>
    </xf>
    <xf numFmtId="43" fontId="75" fillId="0" borderId="7" xfId="15" applyFont="1" applyBorder="1" applyAlignment="1">
      <alignment vertical="center"/>
    </xf>
    <xf numFmtId="0" fontId="78" fillId="0" borderId="0" xfId="0" applyFont="1" applyAlignment="1">
      <alignment vertical="center"/>
    </xf>
    <xf numFmtId="179" fontId="73" fillId="0" borderId="8" xfId="0" applyNumberFormat="1" applyFont="1" applyBorder="1" applyAlignment="1">
      <alignment horizontal="center" vertical="center"/>
    </xf>
    <xf numFmtId="179" fontId="73" fillId="0" borderId="9" xfId="0" applyNumberFormat="1" applyFont="1" applyBorder="1" applyAlignment="1">
      <alignment horizontal="center" vertical="center"/>
    </xf>
    <xf numFmtId="178" fontId="73" fillId="0" borderId="9" xfId="0" applyNumberFormat="1" applyFont="1" applyFill="1" applyBorder="1" applyAlignment="1">
      <alignment horizontal="center" vertical="center"/>
    </xf>
    <xf numFmtId="178" fontId="73" fillId="0" borderId="10" xfId="0" applyNumberFormat="1" applyFont="1" applyFill="1" applyBorder="1" applyAlignment="1">
      <alignment horizontal="center" vertical="center"/>
    </xf>
    <xf numFmtId="178" fontId="79" fillId="0" borderId="8" xfId="0" applyNumberFormat="1" applyFont="1" applyFill="1" applyBorder="1" applyAlignment="1">
      <alignment horizontal="center" vertical="center"/>
    </xf>
    <xf numFmtId="43" fontId="75" fillId="0" borderId="9" xfId="15" applyFont="1" applyFill="1" applyBorder="1" applyAlignment="1">
      <alignment vertical="center"/>
    </xf>
    <xf numFmtId="43" fontId="74" fillId="0" borderId="12" xfId="15" applyFont="1" applyFill="1" applyBorder="1" applyAlignment="1">
      <alignment vertical="center"/>
    </xf>
    <xf numFmtId="43" fontId="75" fillId="0" borderId="11" xfId="15" applyFont="1" applyFill="1" applyBorder="1" applyAlignment="1">
      <alignment vertical="center"/>
    </xf>
    <xf numFmtId="43" fontId="74" fillId="0" borderId="9" xfId="15" applyFont="1" applyFill="1" applyBorder="1" applyAlignment="1">
      <alignment/>
    </xf>
    <xf numFmtId="43" fontId="74" fillId="0" borderId="0" xfId="15" applyFont="1" applyAlignment="1">
      <alignment horizontal="right" vertical="center" wrapText="1" shrinkToFit="1"/>
    </xf>
    <xf numFmtId="178" fontId="78" fillId="0" borderId="0" xfId="0" applyNumberFormat="1" applyFont="1" applyAlignment="1">
      <alignment vertical="center"/>
    </xf>
    <xf numFmtId="178" fontId="62" fillId="0" borderId="0" xfId="0" applyNumberFormat="1" applyFont="1" applyFill="1" applyBorder="1" applyAlignment="1">
      <alignment horizontal="center" vertical="center"/>
    </xf>
    <xf numFmtId="178" fontId="62" fillId="0" borderId="7" xfId="0" applyNumberFormat="1" applyFont="1" applyFill="1" applyBorder="1" applyAlignment="1">
      <alignment horizontal="center" vertical="center"/>
    </xf>
    <xf numFmtId="43" fontId="63" fillId="0" borderId="0" xfId="15" applyFont="1" applyFill="1" applyBorder="1" applyAlignment="1">
      <alignment vertical="center"/>
    </xf>
    <xf numFmtId="43" fontId="63" fillId="0" borderId="52" xfId="15" applyFont="1" applyFill="1" applyBorder="1" applyAlignment="1">
      <alignment vertical="center"/>
    </xf>
    <xf numFmtId="43" fontId="63" fillId="0" borderId="0" xfId="15" applyFont="1" applyFill="1" applyBorder="1" applyAlignment="1">
      <alignment/>
    </xf>
    <xf numFmtId="43" fontId="80" fillId="0" borderId="0" xfId="15" applyFont="1" applyAlignment="1">
      <alignment vertical="center"/>
    </xf>
    <xf numFmtId="43" fontId="62" fillId="0" borderId="4" xfId="15" applyFont="1" applyBorder="1" applyAlignment="1">
      <alignment horizontal="center" vertical="center"/>
    </xf>
    <xf numFmtId="43" fontId="62" fillId="0" borderId="9" xfId="15" applyFont="1" applyBorder="1" applyAlignment="1">
      <alignment horizontal="center" vertical="center"/>
    </xf>
    <xf numFmtId="43" fontId="62" fillId="0" borderId="0" xfId="15" applyFont="1" applyBorder="1" applyAlignment="1">
      <alignment horizontal="center" vertical="center"/>
    </xf>
    <xf numFmtId="43" fontId="62" fillId="0" borderId="9" xfId="15" applyFont="1" applyFill="1" applyBorder="1" applyAlignment="1">
      <alignment horizontal="center" vertical="center"/>
    </xf>
    <xf numFmtId="43" fontId="62" fillId="0" borderId="0" xfId="15" applyFont="1" applyFill="1" applyBorder="1" applyAlignment="1">
      <alignment horizontal="center" vertical="center"/>
    </xf>
    <xf numFmtId="43" fontId="62" fillId="0" borderId="10" xfId="15" applyFont="1" applyFill="1" applyBorder="1" applyAlignment="1">
      <alignment horizontal="center" vertical="center"/>
    </xf>
    <xf numFmtId="43" fontId="62" fillId="0" borderId="7" xfId="15" applyFont="1" applyFill="1" applyBorder="1" applyAlignment="1">
      <alignment horizontal="center" vertical="center"/>
    </xf>
    <xf numFmtId="43" fontId="9" fillId="0" borderId="8" xfId="15" applyFont="1" applyBorder="1" applyAlignment="1">
      <alignment vertical="center"/>
    </xf>
    <xf numFmtId="43" fontId="80" fillId="0" borderId="9" xfId="15" applyFont="1" applyBorder="1" applyAlignment="1">
      <alignment vertical="center"/>
    </xf>
    <xf numFmtId="43" fontId="80" fillId="0" borderId="0" xfId="15" applyFont="1" applyBorder="1" applyAlignment="1">
      <alignment vertical="center"/>
    </xf>
    <xf numFmtId="43" fontId="9" fillId="0" borderId="11" xfId="15" applyFont="1" applyBorder="1" applyAlignment="1">
      <alignment vertical="center"/>
    </xf>
    <xf numFmtId="43" fontId="63" fillId="0" borderId="39" xfId="15" applyFont="1" applyBorder="1" applyAlignment="1">
      <alignment vertical="center"/>
    </xf>
    <xf numFmtId="43" fontId="63" fillId="0" borderId="13" xfId="15" applyFont="1" applyBorder="1" applyAlignment="1">
      <alignment vertical="center"/>
    </xf>
    <xf numFmtId="43" fontId="9" fillId="0" borderId="38" xfId="15" applyFont="1" applyBorder="1" applyAlignment="1">
      <alignment vertical="center"/>
    </xf>
    <xf numFmtId="43" fontId="9" fillId="0" borderId="7" xfId="15" applyFont="1" applyBorder="1" applyAlignment="1">
      <alignment vertical="center"/>
    </xf>
    <xf numFmtId="43" fontId="75" fillId="0" borderId="9" xfId="15" applyFont="1" applyBorder="1" applyAlignment="1">
      <alignment horizontal="right" vertical="center"/>
    </xf>
    <xf numFmtId="43" fontId="74" fillId="0" borderId="39" xfId="15" applyFont="1" applyFill="1" applyBorder="1" applyAlignment="1">
      <alignment/>
    </xf>
    <xf numFmtId="43" fontId="74" fillId="0" borderId="39" xfId="15" applyFont="1" applyFill="1" applyBorder="1" applyAlignment="1">
      <alignment vertical="center"/>
    </xf>
    <xf numFmtId="43" fontId="74" fillId="0" borderId="38" xfId="15" applyFont="1" applyBorder="1" applyAlignment="1">
      <alignment vertical="center"/>
    </xf>
    <xf numFmtId="178" fontId="62" fillId="0" borderId="9" xfId="0" applyNumberFormat="1" applyFont="1" applyFill="1" applyBorder="1" applyAlignment="1">
      <alignment horizontal="center" vertical="center"/>
    </xf>
    <xf numFmtId="178" fontId="62" fillId="0" borderId="10" xfId="0" applyNumberFormat="1" applyFont="1" applyFill="1" applyBorder="1" applyAlignment="1">
      <alignment horizontal="center" vertical="center"/>
    </xf>
    <xf numFmtId="43" fontId="9" fillId="0" borderId="9" xfId="15" applyFont="1" applyBorder="1" applyAlignment="1">
      <alignment horizontal="right" vertical="center"/>
    </xf>
    <xf numFmtId="43" fontId="63" fillId="0" borderId="39" xfId="15" applyFont="1" applyFill="1" applyBorder="1" applyAlignment="1">
      <alignment/>
    </xf>
    <xf numFmtId="43" fontId="63" fillId="0" borderId="39" xfId="15" applyFont="1" applyFill="1" applyBorder="1" applyAlignment="1">
      <alignment vertical="center"/>
    </xf>
    <xf numFmtId="43" fontId="63" fillId="0" borderId="38" xfId="15" applyFont="1" applyBorder="1" applyAlignment="1">
      <alignment vertical="center"/>
    </xf>
    <xf numFmtId="179" fontId="17" fillId="0" borderId="9" xfId="0" applyNumberFormat="1" applyFont="1" applyBorder="1" applyAlignment="1">
      <alignment horizontal="center" vertical="center"/>
    </xf>
    <xf numFmtId="178" fontId="17" fillId="0" borderId="10" xfId="0" applyNumberFormat="1" applyFont="1" applyFill="1" applyBorder="1" applyAlignment="1">
      <alignment horizontal="center" vertical="center"/>
    </xf>
    <xf numFmtId="43" fontId="7" fillId="0" borderId="39" xfId="15" applyFont="1" applyFill="1" applyBorder="1" applyAlignment="1">
      <alignment/>
    </xf>
    <xf numFmtId="43" fontId="7" fillId="0" borderId="39" xfId="15" applyFont="1" applyFill="1" applyBorder="1" applyAlignment="1">
      <alignment vertical="center"/>
    </xf>
    <xf numFmtId="43" fontId="7" fillId="0" borderId="38" xfId="15" applyFont="1" applyBorder="1" applyAlignment="1">
      <alignment vertical="center"/>
    </xf>
    <xf numFmtId="43" fontId="17" fillId="0" borderId="3" xfId="15" applyFont="1" applyBorder="1" applyAlignment="1">
      <alignment horizontal="center" vertical="center"/>
    </xf>
    <xf numFmtId="43" fontId="17" fillId="0" borderId="9" xfId="15" applyFont="1" applyBorder="1" applyAlignment="1">
      <alignment horizontal="center" vertical="center"/>
    </xf>
    <xf numFmtId="43" fontId="17" fillId="0" borderId="9" xfId="15" applyFont="1" applyFill="1" applyBorder="1" applyAlignment="1">
      <alignment horizontal="center" vertical="center"/>
    </xf>
    <xf numFmtId="43" fontId="17" fillId="0" borderId="10" xfId="15" applyFont="1" applyFill="1" applyBorder="1" applyAlignment="1">
      <alignment horizontal="center" vertical="center"/>
    </xf>
    <xf numFmtId="43" fontId="8" fillId="0" borderId="8" xfId="15" applyFont="1" applyBorder="1" applyAlignment="1">
      <alignment vertical="center"/>
    </xf>
    <xf numFmtId="43" fontId="64" fillId="0" borderId="9" xfId="15" applyFont="1" applyBorder="1" applyAlignment="1">
      <alignment vertical="center"/>
    </xf>
    <xf numFmtId="43" fontId="8" fillId="0" borderId="38" xfId="15" applyFont="1" applyBorder="1" applyAlignment="1">
      <alignment vertical="center"/>
    </xf>
    <xf numFmtId="43" fontId="8" fillId="0" borderId="54" xfId="15" applyFont="1" applyBorder="1" applyAlignment="1">
      <alignment vertical="center"/>
    </xf>
    <xf numFmtId="178" fontId="81" fillId="0" borderId="9" xfId="0" applyNumberFormat="1" applyFont="1" applyFill="1" applyBorder="1" applyAlignment="1">
      <alignment horizontal="center" vertical="center"/>
    </xf>
    <xf numFmtId="178" fontId="81" fillId="0" borderId="10" xfId="0" applyNumberFormat="1" applyFont="1" applyFill="1" applyBorder="1" applyAlignment="1">
      <alignment horizontal="center" vertical="center"/>
    </xf>
    <xf numFmtId="43" fontId="82" fillId="0" borderId="12" xfId="15" applyFont="1" applyFill="1" applyBorder="1" applyAlignment="1">
      <alignment vertical="center"/>
    </xf>
    <xf numFmtId="43" fontId="82" fillId="0" borderId="9" xfId="15" applyFont="1" applyBorder="1" applyAlignment="1">
      <alignment vertical="center"/>
    </xf>
    <xf numFmtId="43" fontId="82" fillId="0" borderId="39" xfId="15" applyFont="1" applyFill="1" applyBorder="1" applyAlignment="1">
      <alignment/>
    </xf>
    <xf numFmtId="43" fontId="82" fillId="0" borderId="39" xfId="15" applyFont="1" applyFill="1" applyBorder="1" applyAlignment="1">
      <alignment vertical="center"/>
    </xf>
    <xf numFmtId="43" fontId="82" fillId="0" borderId="13" xfId="15" applyFont="1" applyFill="1" applyBorder="1" applyAlignment="1">
      <alignment vertical="center"/>
    </xf>
    <xf numFmtId="43" fontId="82" fillId="0" borderId="38" xfId="15" applyFont="1" applyBorder="1" applyAlignment="1">
      <alignment vertical="center"/>
    </xf>
    <xf numFmtId="43" fontId="83" fillId="0" borderId="0" xfId="15" applyFont="1" applyAlignment="1">
      <alignment vertical="center"/>
    </xf>
    <xf numFmtId="43" fontId="81" fillId="0" borderId="55" xfId="15" applyFont="1" applyBorder="1" applyAlignment="1">
      <alignment horizontal="center" vertical="center"/>
    </xf>
    <xf numFmtId="43" fontId="81" fillId="0" borderId="9" xfId="15" applyFont="1" applyBorder="1" applyAlignment="1">
      <alignment horizontal="center" vertical="center"/>
    </xf>
    <xf numFmtId="43" fontId="81" fillId="0" borderId="9" xfId="15" applyFont="1" applyFill="1" applyBorder="1" applyAlignment="1">
      <alignment horizontal="center" vertical="center"/>
    </xf>
    <xf numFmtId="43" fontId="81" fillId="0" borderId="10" xfId="15" applyFont="1" applyFill="1" applyBorder="1" applyAlignment="1">
      <alignment horizontal="center" vertical="center"/>
    </xf>
    <xf numFmtId="43" fontId="83" fillId="0" borderId="9" xfId="15" applyFont="1" applyBorder="1" applyAlignment="1">
      <alignment vertical="center"/>
    </xf>
    <xf numFmtId="43" fontId="82" fillId="0" borderId="13" xfId="15" applyFont="1" applyBorder="1" applyAlignment="1">
      <alignment vertical="center"/>
    </xf>
    <xf numFmtId="179" fontId="17" fillId="0" borderId="3" xfId="0" applyNumberFormat="1" applyFont="1" applyBorder="1" applyAlignment="1">
      <alignment horizontal="center" vertical="center"/>
    </xf>
    <xf numFmtId="179" fontId="17" fillId="0" borderId="5" xfId="0" applyNumberFormat="1" applyFont="1" applyBorder="1" applyAlignment="1">
      <alignment horizontal="center" vertical="center"/>
    </xf>
    <xf numFmtId="178" fontId="17" fillId="0" borderId="5" xfId="0" applyNumberFormat="1" applyFont="1" applyFill="1" applyBorder="1" applyAlignment="1">
      <alignment horizontal="center" vertical="center"/>
    </xf>
    <xf numFmtId="178" fontId="17" fillId="0" borderId="6" xfId="0" applyNumberFormat="1" applyFont="1" applyFill="1" applyBorder="1" applyAlignment="1">
      <alignment horizontal="center" vertical="center"/>
    </xf>
    <xf numFmtId="43" fontId="7" fillId="0" borderId="5" xfId="15" applyFont="1" applyFill="1" applyBorder="1" applyAlignment="1">
      <alignment vertical="center"/>
    </xf>
    <xf numFmtId="43" fontId="8" fillId="0" borderId="5" xfId="15" applyFont="1" applyBorder="1" applyAlignment="1">
      <alignment horizontal="right" vertical="center"/>
    </xf>
    <xf numFmtId="43" fontId="8" fillId="0" borderId="44" xfId="15" applyFont="1" applyBorder="1" applyAlignment="1">
      <alignment horizontal="right" vertical="center"/>
    </xf>
    <xf numFmtId="43" fontId="7" fillId="0" borderId="41" xfId="15" applyFont="1" applyFill="1" applyBorder="1" applyAlignment="1">
      <alignment vertical="center"/>
    </xf>
    <xf numFmtId="43" fontId="7" fillId="0" borderId="5" xfId="15" applyFont="1" applyBorder="1" applyAlignment="1">
      <alignment vertical="center"/>
    </xf>
    <xf numFmtId="43" fontId="8" fillId="0" borderId="5" xfId="15" applyFont="1" applyBorder="1" applyAlignment="1">
      <alignment vertical="center"/>
    </xf>
    <xf numFmtId="43" fontId="8" fillId="0" borderId="44" xfId="15" applyFont="1" applyBorder="1" applyAlignment="1">
      <alignment vertical="center"/>
    </xf>
    <xf numFmtId="43" fontId="7" fillId="0" borderId="43" xfId="15" applyFont="1" applyFill="1" applyBorder="1" applyAlignment="1">
      <alignment/>
    </xf>
    <xf numFmtId="43" fontId="7" fillId="0" borderId="43" xfId="15" applyFont="1" applyFill="1" applyBorder="1" applyAlignment="1">
      <alignment vertical="center"/>
    </xf>
    <xf numFmtId="43" fontId="7" fillId="0" borderId="56" xfId="15" applyFont="1" applyBorder="1" applyAlignment="1">
      <alignment vertical="center"/>
    </xf>
    <xf numFmtId="43" fontId="17" fillId="0" borderId="8" xfId="15" applyFont="1" applyBorder="1" applyAlignment="1">
      <alignment horizontal="center" vertical="center"/>
    </xf>
    <xf numFmtId="43" fontId="8" fillId="0" borderId="10" xfId="15" applyFont="1" applyBorder="1" applyAlignment="1">
      <alignment vertical="center"/>
    </xf>
    <xf numFmtId="179" fontId="17" fillId="0" borderId="8" xfId="0" applyNumberFormat="1" applyFont="1" applyBorder="1" applyAlignment="1">
      <alignment horizontal="center" vertical="center"/>
    </xf>
    <xf numFmtId="178" fontId="84" fillId="0" borderId="8" xfId="0" applyNumberFormat="1" applyFont="1" applyFill="1" applyBorder="1" applyAlignment="1">
      <alignment horizontal="center" vertical="center"/>
    </xf>
    <xf numFmtId="43" fontId="7" fillId="0" borderId="0" xfId="15" applyFont="1" applyAlignment="1">
      <alignment horizontal="right" vertical="center" wrapText="1" shrinkToFit="1"/>
    </xf>
    <xf numFmtId="43" fontId="7" fillId="0" borderId="54" xfId="15" applyFont="1" applyBorder="1" applyAlignment="1">
      <alignment vertical="center"/>
    </xf>
    <xf numFmtId="43" fontId="63" fillId="0" borderId="53" xfId="15" applyFont="1" applyFill="1" applyBorder="1" applyAlignment="1">
      <alignment/>
    </xf>
    <xf numFmtId="43" fontId="63" fillId="0" borderId="53" xfId="15" applyFont="1" applyFill="1" applyBorder="1" applyAlignment="1">
      <alignment vertical="center"/>
    </xf>
    <xf numFmtId="43" fontId="74" fillId="0" borderId="11" xfId="15" applyFont="1" applyFill="1" applyBorder="1" applyAlignment="1">
      <alignment vertical="center"/>
    </xf>
    <xf numFmtId="43" fontId="74" fillId="0" borderId="0" xfId="15" applyFont="1" applyFill="1" applyBorder="1" applyAlignment="1">
      <alignment/>
    </xf>
    <xf numFmtId="178" fontId="81" fillId="0" borderId="57" xfId="0" applyNumberFormat="1" applyFont="1" applyFill="1" applyBorder="1" applyAlignment="1">
      <alignment horizontal="center" vertical="center"/>
    </xf>
    <xf numFmtId="178" fontId="81" fillId="0" borderId="58" xfId="0" applyNumberFormat="1" applyFont="1" applyFill="1" applyBorder="1" applyAlignment="1">
      <alignment horizontal="center" vertical="center"/>
    </xf>
    <xf numFmtId="43" fontId="82" fillId="0" borderId="57" xfId="15" applyFont="1" applyBorder="1" applyAlignment="1">
      <alignment vertical="center"/>
    </xf>
    <xf numFmtId="43" fontId="82" fillId="0" borderId="59" xfId="15" applyFont="1" applyFill="1" applyBorder="1" applyAlignment="1">
      <alignment vertical="center"/>
    </xf>
    <xf numFmtId="43" fontId="82" fillId="0" borderId="60" xfId="15" applyFont="1" applyFill="1" applyBorder="1" applyAlignment="1">
      <alignment/>
    </xf>
    <xf numFmtId="43" fontId="82" fillId="0" borderId="60" xfId="15" applyFont="1" applyFill="1" applyBorder="1" applyAlignment="1">
      <alignment vertical="center"/>
    </xf>
    <xf numFmtId="43" fontId="82" fillId="0" borderId="61" xfId="15" applyFont="1" applyBorder="1" applyAlignment="1">
      <alignment vertical="center"/>
    </xf>
    <xf numFmtId="43" fontId="82" fillId="0" borderId="39" xfId="15" applyFont="1" applyBorder="1" applyAlignment="1">
      <alignment vertical="center"/>
    </xf>
    <xf numFmtId="0" fontId="85" fillId="0" borderId="0" xfId="0" applyFont="1" applyAlignment="1">
      <alignment vertical="center"/>
    </xf>
    <xf numFmtId="178" fontId="8" fillId="0" borderId="4" xfId="0" applyNumberFormat="1" applyFont="1" applyBorder="1" applyAlignment="1">
      <alignment vertical="center"/>
    </xf>
    <xf numFmtId="179" fontId="62" fillId="0" borderId="8" xfId="0" applyNumberFormat="1" applyFont="1" applyBorder="1" applyAlignment="1">
      <alignment horizontal="center" vertical="center"/>
    </xf>
    <xf numFmtId="179" fontId="62" fillId="0" borderId="4" xfId="0" applyNumberFormat="1" applyFont="1" applyBorder="1" applyAlignment="1">
      <alignment horizontal="center" vertical="center"/>
    </xf>
    <xf numFmtId="179" fontId="81" fillId="0" borderId="8" xfId="0" applyNumberFormat="1" applyFont="1" applyBorder="1" applyAlignment="1">
      <alignment horizontal="center" vertical="center"/>
    </xf>
    <xf numFmtId="178" fontId="75" fillId="0" borderId="8" xfId="0" applyNumberFormat="1" applyFont="1" applyBorder="1" applyAlignment="1">
      <alignment vertical="center"/>
    </xf>
    <xf numFmtId="179" fontId="73" fillId="0" borderId="4" xfId="0" applyNumberFormat="1" applyFont="1" applyBorder="1" applyAlignment="1">
      <alignment horizontal="center" vertical="center"/>
    </xf>
    <xf numFmtId="179" fontId="81" fillId="0" borderId="55" xfId="0" applyNumberFormat="1" applyFont="1" applyBorder="1" applyAlignment="1">
      <alignment horizontal="center" vertical="center"/>
    </xf>
    <xf numFmtId="179" fontId="62" fillId="0" borderId="9" xfId="0" applyNumberFormat="1" applyFont="1" applyBorder="1" applyAlignment="1">
      <alignment horizontal="center" vertical="center"/>
    </xf>
    <xf numFmtId="179" fontId="62" fillId="0" borderId="0" xfId="0" applyNumberFormat="1" applyFont="1" applyBorder="1" applyAlignment="1">
      <alignment horizontal="center" vertical="center"/>
    </xf>
    <xf numFmtId="179" fontId="81" fillId="0" borderId="9" xfId="0" applyNumberFormat="1" applyFont="1" applyBorder="1" applyAlignment="1">
      <alignment horizontal="center" vertical="center"/>
    </xf>
    <xf numFmtId="178" fontId="75" fillId="0" borderId="9" xfId="0" applyNumberFormat="1" applyFont="1" applyBorder="1" applyAlignment="1">
      <alignment vertical="center"/>
    </xf>
    <xf numFmtId="179" fontId="73" fillId="0" borderId="0" xfId="0" applyNumberFormat="1" applyFont="1" applyBorder="1" applyAlignment="1">
      <alignment horizontal="center" vertical="center"/>
    </xf>
    <xf numFmtId="179" fontId="81" fillId="0" borderId="57" xfId="0" applyNumberFormat="1" applyFont="1" applyBorder="1" applyAlignment="1">
      <alignment horizontal="center" vertical="center"/>
    </xf>
    <xf numFmtId="178" fontId="17" fillId="0" borderId="0" xfId="0" applyNumberFormat="1" applyFont="1" applyBorder="1" applyAlignment="1">
      <alignment vertical="center"/>
    </xf>
    <xf numFmtId="178" fontId="73" fillId="0" borderId="9" xfId="0" applyNumberFormat="1" applyFont="1" applyBorder="1" applyAlignment="1">
      <alignment vertical="center"/>
    </xf>
    <xf numFmtId="178" fontId="68" fillId="0" borderId="9" xfId="0" applyNumberFormat="1" applyFont="1" applyFill="1" applyBorder="1" applyAlignment="1">
      <alignment vertical="center"/>
    </xf>
    <xf numFmtId="178" fontId="49" fillId="0" borderId="0" xfId="0" applyNumberFormat="1" applyFont="1" applyBorder="1" applyAlignment="1">
      <alignment vertical="center"/>
    </xf>
    <xf numFmtId="178" fontId="77" fillId="0" borderId="9" xfId="0" applyNumberFormat="1" applyFont="1" applyBorder="1" applyAlignment="1">
      <alignment vertical="center"/>
    </xf>
    <xf numFmtId="178" fontId="9" fillId="0" borderId="10" xfId="0" applyNumberFormat="1" applyFont="1" applyFill="1" applyBorder="1" applyAlignment="1">
      <alignment vertical="center"/>
    </xf>
    <xf numFmtId="178" fontId="8" fillId="0" borderId="4" xfId="0" applyNumberFormat="1" applyFont="1" applyBorder="1" applyAlignment="1">
      <alignment horizontal="left" vertical="center"/>
    </xf>
    <xf numFmtId="178" fontId="86" fillId="0" borderId="8" xfId="0" applyNumberFormat="1" applyFont="1" applyFill="1" applyBorder="1" applyAlignment="1">
      <alignment horizontal="center" vertical="center"/>
    </xf>
    <xf numFmtId="178" fontId="86" fillId="0" borderId="4" xfId="0" applyNumberFormat="1" applyFont="1" applyFill="1" applyBorder="1" applyAlignment="1">
      <alignment horizontal="center" vertical="center"/>
    </xf>
    <xf numFmtId="178" fontId="84" fillId="0" borderId="3" xfId="0" applyNumberFormat="1" applyFont="1" applyFill="1" applyBorder="1" applyAlignment="1">
      <alignment horizontal="center" vertical="center"/>
    </xf>
    <xf numFmtId="178" fontId="79" fillId="0" borderId="4" xfId="0" applyNumberFormat="1" applyFont="1" applyFill="1" applyBorder="1" applyAlignment="1">
      <alignment horizontal="center" vertical="center"/>
    </xf>
    <xf numFmtId="178" fontId="9" fillId="0" borderId="8" xfId="0" applyNumberFormat="1" applyFont="1" applyFill="1" applyBorder="1" applyAlignment="1">
      <alignment vertical="center"/>
    </xf>
    <xf numFmtId="43" fontId="7" fillId="0" borderId="0" xfId="15" applyFont="1" applyBorder="1" applyAlignment="1">
      <alignment horizontal="left" vertical="center"/>
    </xf>
    <xf numFmtId="43" fontId="8" fillId="0" borderId="0" xfId="15" applyFont="1" applyBorder="1" applyAlignment="1">
      <alignment horizontal="left" vertical="center"/>
    </xf>
    <xf numFmtId="43" fontId="75" fillId="0" borderId="9" xfId="15" applyFont="1" applyBorder="1" applyAlignment="1">
      <alignment horizontal="left" vertical="center"/>
    </xf>
    <xf numFmtId="43" fontId="75" fillId="0" borderId="0" xfId="15" applyFont="1" applyFill="1" applyBorder="1" applyAlignment="1">
      <alignment vertical="center"/>
    </xf>
    <xf numFmtId="43" fontId="74" fillId="0" borderId="9" xfId="15" applyFont="1" applyBorder="1" applyAlignment="1">
      <alignment horizontal="left" vertical="center"/>
    </xf>
    <xf numFmtId="43" fontId="9" fillId="0" borderId="9" xfId="15" applyFont="1" applyFill="1" applyBorder="1" applyAlignment="1">
      <alignment/>
    </xf>
    <xf numFmtId="43" fontId="63" fillId="0" borderId="0" xfId="15" applyFont="1" applyAlignment="1">
      <alignment horizontal="right" vertical="center" wrapText="1" shrinkToFit="1"/>
    </xf>
    <xf numFmtId="43" fontId="82" fillId="0" borderId="0" xfId="15" applyFont="1" applyAlignment="1">
      <alignment horizontal="right" vertical="center" wrapText="1" shrinkToFit="1"/>
    </xf>
    <xf numFmtId="43" fontId="63" fillId="0" borderId="0" xfId="15" applyFont="1" applyAlignment="1">
      <alignment vertical="center"/>
    </xf>
    <xf numFmtId="43" fontId="82" fillId="0" borderId="0" xfId="15" applyFont="1" applyAlignment="1">
      <alignment vertical="center"/>
    </xf>
    <xf numFmtId="43" fontId="9" fillId="0" borderId="0" xfId="15" applyFont="1" applyAlignment="1">
      <alignment vertical="center"/>
    </xf>
    <xf numFmtId="43" fontId="87" fillId="0" borderId="0" xfId="15" applyFont="1" applyAlignment="1">
      <alignment horizontal="right" vertical="center" wrapText="1" shrinkToFit="1"/>
    </xf>
    <xf numFmtId="179" fontId="88" fillId="4" borderId="0" xfId="0" applyNumberFormat="1" applyFont="1" applyFill="1" applyBorder="1" applyAlignment="1">
      <alignment horizontal="center" vertical="center"/>
    </xf>
    <xf numFmtId="178" fontId="88" fillId="4" borderId="0" xfId="0" applyNumberFormat="1" applyFont="1" applyFill="1" applyBorder="1" applyAlignment="1">
      <alignment horizontal="center" vertical="center"/>
    </xf>
    <xf numFmtId="178" fontId="88" fillId="4" borderId="9" xfId="0" applyNumberFormat="1" applyFont="1" applyFill="1" applyBorder="1" applyAlignment="1">
      <alignment horizontal="center" vertical="center"/>
    </xf>
    <xf numFmtId="178" fontId="89" fillId="4" borderId="0" xfId="0" applyNumberFormat="1" applyFont="1" applyFill="1" applyBorder="1" applyAlignment="1">
      <alignment horizontal="center" vertical="center"/>
    </xf>
    <xf numFmtId="43" fontId="71" fillId="4" borderId="0" xfId="15" applyFont="1" applyFill="1" applyBorder="1" applyAlignment="1">
      <alignment vertical="center"/>
    </xf>
    <xf numFmtId="43" fontId="90" fillId="4" borderId="0" xfId="15" applyFont="1" applyFill="1" applyBorder="1" applyAlignment="1">
      <alignment vertical="center"/>
    </xf>
    <xf numFmtId="43" fontId="71" fillId="4" borderId="0" xfId="15" applyFont="1" applyFill="1" applyBorder="1" applyAlignment="1">
      <alignment/>
    </xf>
    <xf numFmtId="43" fontId="88" fillId="4" borderId="0" xfId="15" applyFont="1" applyFill="1" applyBorder="1" applyAlignment="1">
      <alignment horizontal="center" vertical="center"/>
    </xf>
    <xf numFmtId="43" fontId="88" fillId="4" borderId="9" xfId="15" applyFont="1" applyFill="1" applyBorder="1" applyAlignment="1">
      <alignment horizontal="center" vertical="center"/>
    </xf>
    <xf numFmtId="43" fontId="91" fillId="4" borderId="0" xfId="15" applyFont="1" applyFill="1" applyBorder="1" applyAlignment="1">
      <alignment vertical="center"/>
    </xf>
    <xf numFmtId="43" fontId="90" fillId="4" borderId="57" xfId="15" applyFont="1" applyFill="1" applyBorder="1" applyAlignment="1">
      <alignment vertical="center"/>
    </xf>
    <xf numFmtId="43" fontId="17" fillId="0" borderId="5" xfId="15" applyFont="1" applyBorder="1" applyAlignment="1">
      <alignment horizontal="center" vertical="center"/>
    </xf>
    <xf numFmtId="43" fontId="17" fillId="0" borderId="5" xfId="15" applyFont="1" applyFill="1" applyBorder="1" applyAlignment="1">
      <alignment horizontal="center" vertical="center"/>
    </xf>
    <xf numFmtId="43" fontId="40" fillId="0" borderId="8" xfId="15" applyFont="1" applyBorder="1" applyAlignment="1">
      <alignment horizontal="center" vertical="center"/>
    </xf>
    <xf numFmtId="43" fontId="40" fillId="0" borderId="9" xfId="15" applyFont="1" applyBorder="1" applyAlignment="1">
      <alignment horizontal="center" vertical="center"/>
    </xf>
    <xf numFmtId="43" fontId="68" fillId="0" borderId="9" xfId="15" applyFont="1" applyFill="1" applyBorder="1" applyAlignment="1">
      <alignment vertical="center"/>
    </xf>
    <xf numFmtId="43" fontId="73" fillId="0" borderId="57" xfId="15" applyFont="1" applyBorder="1" applyAlignment="1">
      <alignment horizontal="center" vertical="center"/>
    </xf>
    <xf numFmtId="43" fontId="73" fillId="0" borderId="57" xfId="15" applyFont="1" applyFill="1" applyBorder="1" applyAlignment="1">
      <alignment horizontal="center" vertical="center"/>
    </xf>
    <xf numFmtId="43" fontId="62" fillId="0" borderId="8" xfId="15" applyFont="1" applyBorder="1" applyAlignment="1">
      <alignment horizontal="center" vertical="center"/>
    </xf>
    <xf numFmtId="43" fontId="82" fillId="0" borderId="9" xfId="15" applyFont="1" applyFill="1" applyBorder="1" applyAlignment="1">
      <alignment vertical="center"/>
    </xf>
    <xf numFmtId="178" fontId="92" fillId="0" borderId="8" xfId="0" applyNumberFormat="1" applyFont="1" applyFill="1" applyBorder="1" applyAlignment="1">
      <alignment horizontal="center" vertical="center"/>
    </xf>
    <xf numFmtId="43" fontId="82" fillId="0" borderId="9" xfId="15" applyFont="1" applyBorder="1" applyAlignment="1">
      <alignment horizontal="right" vertical="center"/>
    </xf>
    <xf numFmtId="43" fontId="82" fillId="0" borderId="8" xfId="15" applyFont="1" applyBorder="1" applyAlignment="1">
      <alignment vertical="center"/>
    </xf>
    <xf numFmtId="43" fontId="82" fillId="0" borderId="11" xfId="15" applyFont="1" applyBorder="1" applyAlignment="1">
      <alignment vertical="center"/>
    </xf>
    <xf numFmtId="43" fontId="82" fillId="0" borderId="62" xfId="15" applyFont="1" applyBorder="1" applyAlignment="1">
      <alignment vertical="center"/>
    </xf>
    <xf numFmtId="178" fontId="92" fillId="0" borderId="55" xfId="0" applyNumberFormat="1" applyFont="1" applyFill="1" applyBorder="1" applyAlignment="1">
      <alignment horizontal="center" vertical="center"/>
    </xf>
    <xf numFmtId="43" fontId="82" fillId="0" borderId="57" xfId="15" applyFont="1" applyBorder="1" applyAlignment="1">
      <alignment horizontal="right" vertical="center"/>
    </xf>
    <xf numFmtId="188" fontId="6" fillId="0" borderId="39" xfId="15" applyNumberFormat="1" applyFont="1" applyFill="1" applyBorder="1" applyAlignment="1">
      <alignment/>
    </xf>
    <xf numFmtId="43" fontId="6" fillId="0" borderId="10" xfId="15" applyFont="1" applyFill="1" applyBorder="1" applyAlignment="1">
      <alignment vertical="center"/>
    </xf>
    <xf numFmtId="178" fontId="24" fillId="0" borderId="0" xfId="0" applyNumberFormat="1" applyFont="1" applyAlignment="1">
      <alignment vertical="center"/>
    </xf>
    <xf numFmtId="188" fontId="6" fillId="0" borderId="13" xfId="15" applyNumberFormat="1" applyFont="1" applyFill="1" applyBorder="1" applyAlignment="1">
      <alignment vertical="center"/>
    </xf>
    <xf numFmtId="178" fontId="0" fillId="0" borderId="0" xfId="0" applyNumberFormat="1" applyFont="1" applyAlignment="1">
      <alignment vertical="center"/>
    </xf>
    <xf numFmtId="43" fontId="5" fillId="0" borderId="9" xfId="15" applyFont="1" applyBorder="1" applyAlignment="1">
      <alignment horizontal="right" vertical="center"/>
    </xf>
    <xf numFmtId="178" fontId="35" fillId="0" borderId="9" xfId="0" applyNumberFormat="1" applyFont="1" applyBorder="1" applyAlignment="1">
      <alignment horizontal="center" vertical="center"/>
    </xf>
    <xf numFmtId="178" fontId="60" fillId="0" borderId="9" xfId="0" applyNumberFormat="1" applyFont="1" applyBorder="1" applyAlignment="1">
      <alignment horizontal="center" vertical="center"/>
    </xf>
    <xf numFmtId="179" fontId="5" fillId="0" borderId="7" xfId="0" applyNumberFormat="1" applyFont="1" applyBorder="1" applyAlignment="1">
      <alignment horizontal="right"/>
    </xf>
    <xf numFmtId="178" fontId="16" fillId="0" borderId="4" xfId="0" applyNumberFormat="1" applyFont="1" applyBorder="1" applyAlignment="1">
      <alignment vertical="center"/>
    </xf>
    <xf numFmtId="178" fontId="66" fillId="0" borderId="0" xfId="0" applyNumberFormat="1" applyFont="1" applyBorder="1" applyAlignment="1">
      <alignment vertical="center"/>
    </xf>
    <xf numFmtId="178" fontId="20" fillId="0" borderId="7" xfId="0" applyNumberFormat="1" applyFont="1" applyBorder="1" applyAlignment="1">
      <alignment vertical="center"/>
    </xf>
    <xf numFmtId="178" fontId="16" fillId="0" borderId="7" xfId="0" applyNumberFormat="1" applyFont="1" applyBorder="1" applyAlignment="1">
      <alignment vertical="center"/>
    </xf>
    <xf numFmtId="178" fontId="15" fillId="0" borderId="7" xfId="0" applyNumberFormat="1" applyFont="1" applyBorder="1" applyAlignment="1">
      <alignment vertical="center"/>
    </xf>
    <xf numFmtId="43" fontId="19" fillId="0" borderId="9" xfId="15" applyFont="1" applyBorder="1" applyAlignment="1">
      <alignment vertical="center"/>
    </xf>
    <xf numFmtId="43" fontId="61" fillId="0" borderId="9" xfId="15" applyFont="1" applyBorder="1" applyAlignment="1">
      <alignment vertical="center"/>
    </xf>
    <xf numFmtId="43" fontId="19" fillId="0" borderId="11" xfId="15" applyFont="1" applyBorder="1" applyAlignment="1">
      <alignment vertical="center"/>
    </xf>
    <xf numFmtId="43" fontId="61" fillId="0" borderId="11" xfId="15" applyFont="1" applyBorder="1" applyAlignment="1">
      <alignment vertical="center"/>
    </xf>
    <xf numFmtId="43" fontId="6" fillId="2" borderId="39" xfId="15" applyFont="1" applyFill="1" applyBorder="1" applyAlignment="1">
      <alignment vertical="center"/>
    </xf>
    <xf numFmtId="43" fontId="7" fillId="2" borderId="39" xfId="15" applyFont="1" applyFill="1" applyBorder="1" applyAlignment="1">
      <alignment vertical="center"/>
    </xf>
    <xf numFmtId="39" fontId="23" fillId="0" borderId="9" xfId="15" applyNumberFormat="1" applyFont="1" applyBorder="1" applyAlignment="1">
      <alignment vertical="center"/>
    </xf>
    <xf numFmtId="43" fontId="23" fillId="0" borderId="0" xfId="15" applyFont="1" applyBorder="1" applyAlignment="1">
      <alignment vertical="center"/>
    </xf>
    <xf numFmtId="39" fontId="5" fillId="0" borderId="0" xfId="0" applyNumberFormat="1" applyFont="1" applyAlignment="1">
      <alignment vertical="center"/>
    </xf>
    <xf numFmtId="188" fontId="5" fillId="2" borderId="11" xfId="15" applyNumberFormat="1" applyFont="1" applyFill="1" applyBorder="1" applyAlignment="1">
      <alignment vertical="center"/>
    </xf>
    <xf numFmtId="188" fontId="8" fillId="2" borderId="11" xfId="15" applyNumberFormat="1" applyFont="1" applyFill="1" applyBorder="1" applyAlignment="1">
      <alignment vertical="center"/>
    </xf>
    <xf numFmtId="39" fontId="24" fillId="0" borderId="9" xfId="15" applyNumberFormat="1" applyFont="1" applyBorder="1" applyAlignment="1">
      <alignment vertical="center"/>
    </xf>
    <xf numFmtId="199" fontId="7" fillId="0" borderId="9" xfId="15" applyNumberFormat="1" applyFont="1" applyBorder="1" applyAlignment="1">
      <alignment vertical="center"/>
    </xf>
    <xf numFmtId="198" fontId="6" fillId="2" borderId="9" xfId="15" applyNumberFormat="1" applyFont="1" applyFill="1" applyBorder="1" applyAlignment="1">
      <alignment vertical="center"/>
    </xf>
    <xf numFmtId="198" fontId="6" fillId="2" borderId="12" xfId="15" applyNumberFormat="1" applyFont="1" applyFill="1" applyBorder="1" applyAlignment="1">
      <alignment vertical="center"/>
    </xf>
    <xf numFmtId="199" fontId="6" fillId="0" borderId="9" xfId="15" applyNumberFormat="1" applyFont="1" applyBorder="1" applyAlignment="1">
      <alignment vertical="center"/>
    </xf>
    <xf numFmtId="188" fontId="5" fillId="0" borderId="9" xfId="15" applyNumberFormat="1" applyFont="1" applyBorder="1" applyAlignment="1">
      <alignment/>
    </xf>
    <xf numFmtId="188" fontId="5" fillId="0" borderId="11" xfId="15" applyNumberFormat="1" applyFont="1" applyBorder="1" applyAlignment="1">
      <alignment vertical="center"/>
    </xf>
    <xf numFmtId="188" fontId="6" fillId="0" borderId="39" xfId="15" applyNumberFormat="1" applyFont="1" applyFill="1" applyBorder="1" applyAlignment="1">
      <alignment vertical="center"/>
    </xf>
    <xf numFmtId="178" fontId="29" fillId="0" borderId="0" xfId="0" applyNumberFormat="1" applyFont="1" applyAlignment="1">
      <alignment vertical="center"/>
    </xf>
    <xf numFmtId="198" fontId="29" fillId="0" borderId="0" xfId="15" applyNumberFormat="1" applyFont="1" applyAlignment="1">
      <alignment vertical="center"/>
    </xf>
    <xf numFmtId="198" fontId="29" fillId="0" borderId="0" xfId="0" applyNumberFormat="1" applyFont="1" applyAlignment="1">
      <alignment vertical="center"/>
    </xf>
    <xf numFmtId="188" fontId="5" fillId="0" borderId="11" xfId="15" applyNumberFormat="1" applyFont="1" applyBorder="1" applyAlignment="1">
      <alignment/>
    </xf>
    <xf numFmtId="178" fontId="15" fillId="0" borderId="0" xfId="0" applyNumberFormat="1" applyFont="1" applyAlignment="1">
      <alignment vertical="center"/>
    </xf>
    <xf numFmtId="0" fontId="93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5" fillId="0" borderId="0" xfId="0" applyFont="1" applyAlignment="1">
      <alignment horizontal="justify" vertical="top" wrapText="1"/>
    </xf>
    <xf numFmtId="0" fontId="94" fillId="0" borderId="0" xfId="0" applyFont="1" applyAlignment="1">
      <alignment horizontal="justify"/>
    </xf>
    <xf numFmtId="0" fontId="48" fillId="0" borderId="0" xfId="0" applyFont="1" applyAlignment="1">
      <alignment vertical="center"/>
    </xf>
    <xf numFmtId="0" fontId="5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8" fontId="0" fillId="0" borderId="0" xfId="0" applyNumberFormat="1" applyFont="1" applyAlignment="1">
      <alignment vertical="center"/>
    </xf>
    <xf numFmtId="178" fontId="0" fillId="0" borderId="0" xfId="0" applyNumberFormat="1" applyFont="1" applyFill="1" applyAlignment="1">
      <alignment vertical="center"/>
    </xf>
    <xf numFmtId="0" fontId="6" fillId="0" borderId="0" xfId="0" applyFont="1" applyAlignment="1">
      <alignment horizontal="justify" vertical="top" wrapText="1"/>
    </xf>
    <xf numFmtId="0" fontId="14" fillId="0" borderId="0" xfId="0" applyFont="1" applyAlignment="1">
      <alignment horizontal="justify" vertical="top" wrapText="1"/>
    </xf>
    <xf numFmtId="178" fontId="5" fillId="0" borderId="0" xfId="0" applyNumberFormat="1" applyFont="1" applyFill="1" applyAlignment="1">
      <alignment vertical="center"/>
    </xf>
    <xf numFmtId="0" fontId="6" fillId="0" borderId="0" xfId="0" applyFont="1" applyAlignment="1">
      <alignment vertical="top" wrapText="1"/>
    </xf>
    <xf numFmtId="0" fontId="48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95" fillId="0" borderId="0" xfId="0" applyFont="1" applyAlignment="1">
      <alignment vertical="center"/>
    </xf>
    <xf numFmtId="0" fontId="96" fillId="0" borderId="0" xfId="0" applyFont="1" applyAlignment="1">
      <alignment vertical="center"/>
    </xf>
    <xf numFmtId="178" fontId="96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97" fillId="0" borderId="0" xfId="0" applyFont="1" applyAlignment="1">
      <alignment vertical="center"/>
    </xf>
    <xf numFmtId="178" fontId="6" fillId="0" borderId="0" xfId="0" applyNumberFormat="1" applyFont="1" applyAlignment="1">
      <alignment horizontal="center" vertical="center"/>
    </xf>
    <xf numFmtId="178" fontId="14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justify" vertical="top" wrapText="1"/>
    </xf>
    <xf numFmtId="0" fontId="6" fillId="0" borderId="0" xfId="0" applyFont="1" applyAlignment="1">
      <alignment horizontal="justify" vertical="top" wrapText="1"/>
    </xf>
    <xf numFmtId="0" fontId="51" fillId="0" borderId="63" xfId="0" applyFont="1" applyBorder="1" applyAlignment="1">
      <alignment horizontal="center"/>
    </xf>
    <xf numFmtId="0" fontId="51" fillId="0" borderId="64" xfId="0" applyFont="1" applyBorder="1" applyAlignment="1">
      <alignment horizontal="center"/>
    </xf>
    <xf numFmtId="0" fontId="51" fillId="0" borderId="65" xfId="0" applyFont="1" applyBorder="1" applyAlignment="1">
      <alignment horizontal="center"/>
    </xf>
    <xf numFmtId="178" fontId="57" fillId="0" borderId="66" xfId="0" applyNumberFormat="1" applyFont="1" applyBorder="1" applyAlignment="1">
      <alignment horizontal="center" vertical="center"/>
    </xf>
    <xf numFmtId="178" fontId="57" fillId="0" borderId="67" xfId="0" applyNumberFormat="1" applyFont="1" applyBorder="1" applyAlignment="1">
      <alignment horizontal="center" vertical="center"/>
    </xf>
    <xf numFmtId="178" fontId="57" fillId="0" borderId="68" xfId="0" applyNumberFormat="1" applyFont="1" applyBorder="1" applyAlignment="1">
      <alignment horizontal="center" vertical="center"/>
    </xf>
    <xf numFmtId="178" fontId="23" fillId="0" borderId="69" xfId="0" applyNumberFormat="1" applyFont="1" applyBorder="1" applyAlignment="1">
      <alignment horizontal="center" vertical="center"/>
    </xf>
    <xf numFmtId="178" fontId="23" fillId="0" borderId="70" xfId="0" applyNumberFormat="1" applyFont="1" applyBorder="1" applyAlignment="1">
      <alignment horizontal="center" vertical="center"/>
    </xf>
    <xf numFmtId="178" fontId="23" fillId="0" borderId="71" xfId="0" applyNumberFormat="1" applyFont="1" applyBorder="1" applyAlignment="1">
      <alignment horizontal="center" vertical="center"/>
    </xf>
    <xf numFmtId="178" fontId="23" fillId="0" borderId="72" xfId="0" applyNumberFormat="1" applyFont="1" applyBorder="1" applyAlignment="1">
      <alignment horizontal="center" vertical="center"/>
    </xf>
    <xf numFmtId="178" fontId="23" fillId="0" borderId="73" xfId="0" applyNumberFormat="1" applyFont="1" applyBorder="1" applyAlignment="1">
      <alignment horizontal="center" vertical="center"/>
    </xf>
    <xf numFmtId="178" fontId="23" fillId="0" borderId="74" xfId="0" applyNumberFormat="1" applyFont="1" applyBorder="1" applyAlignment="1">
      <alignment horizontal="center" vertical="center"/>
    </xf>
    <xf numFmtId="179" fontId="23" fillId="0" borderId="63" xfId="0" applyNumberFormat="1" applyFont="1" applyBorder="1" applyAlignment="1">
      <alignment horizontal="center" vertical="center"/>
    </xf>
    <xf numFmtId="179" fontId="23" fillId="0" borderId="64" xfId="0" applyNumberFormat="1" applyFont="1" applyBorder="1" applyAlignment="1">
      <alignment horizontal="center" vertical="center"/>
    </xf>
    <xf numFmtId="179" fontId="23" fillId="0" borderId="65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49</xdr:row>
      <xdr:rowOff>9525</xdr:rowOff>
    </xdr:from>
    <xdr:to>
      <xdr:col>12</xdr:col>
      <xdr:colOff>381000</xdr:colOff>
      <xdr:row>50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8258175" y="10382250"/>
          <a:ext cx="2952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2" name="Rectangle 2"/>
        <xdr:cNvSpPr>
          <a:spLocks/>
        </xdr:cNvSpPr>
      </xdr:nvSpPr>
      <xdr:spPr>
        <a:xfrm>
          <a:off x="72961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3" name="Rectangle 3"/>
        <xdr:cNvSpPr>
          <a:spLocks/>
        </xdr:cNvSpPr>
      </xdr:nvSpPr>
      <xdr:spPr>
        <a:xfrm>
          <a:off x="81915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0</xdr:colOff>
      <xdr:row>152</xdr:row>
      <xdr:rowOff>0</xdr:rowOff>
    </xdr:from>
    <xdr:to>
      <xdr:col>14</xdr:col>
      <xdr:colOff>0</xdr:colOff>
      <xdr:row>152</xdr:row>
      <xdr:rowOff>0</xdr:rowOff>
    </xdr:to>
    <xdr:sp>
      <xdr:nvSpPr>
        <xdr:cNvPr id="4" name="Rectangle 4"/>
        <xdr:cNvSpPr>
          <a:spLocks/>
        </xdr:cNvSpPr>
      </xdr:nvSpPr>
      <xdr:spPr>
        <a:xfrm>
          <a:off x="9134475" y="2896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0</xdr:colOff>
      <xdr:row>152</xdr:row>
      <xdr:rowOff>0</xdr:rowOff>
    </xdr:from>
    <xdr:to>
      <xdr:col>14</xdr:col>
      <xdr:colOff>0</xdr:colOff>
      <xdr:row>152</xdr:row>
      <xdr:rowOff>0</xdr:rowOff>
    </xdr:to>
    <xdr:sp>
      <xdr:nvSpPr>
        <xdr:cNvPr id="5" name="Rectangle 5"/>
        <xdr:cNvSpPr>
          <a:spLocks/>
        </xdr:cNvSpPr>
      </xdr:nvSpPr>
      <xdr:spPr>
        <a:xfrm>
          <a:off x="9134475" y="2896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0</xdr:colOff>
      <xdr:row>152</xdr:row>
      <xdr:rowOff>0</xdr:rowOff>
    </xdr:from>
    <xdr:to>
      <xdr:col>14</xdr:col>
      <xdr:colOff>0</xdr:colOff>
      <xdr:row>152</xdr:row>
      <xdr:rowOff>0</xdr:rowOff>
    </xdr:to>
    <xdr:sp>
      <xdr:nvSpPr>
        <xdr:cNvPr id="6" name="Rectangle 6"/>
        <xdr:cNvSpPr>
          <a:spLocks/>
        </xdr:cNvSpPr>
      </xdr:nvSpPr>
      <xdr:spPr>
        <a:xfrm>
          <a:off x="9134475" y="2896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104775</xdr:colOff>
      <xdr:row>49</xdr:row>
      <xdr:rowOff>9525</xdr:rowOff>
    </xdr:from>
    <xdr:to>
      <xdr:col>8</xdr:col>
      <xdr:colOff>419100</xdr:colOff>
      <xdr:row>49</xdr:row>
      <xdr:rowOff>200025</xdr:rowOff>
    </xdr:to>
    <xdr:sp>
      <xdr:nvSpPr>
        <xdr:cNvPr id="7" name="Rectangle 7"/>
        <xdr:cNvSpPr>
          <a:spLocks/>
        </xdr:cNvSpPr>
      </xdr:nvSpPr>
      <xdr:spPr>
        <a:xfrm>
          <a:off x="6448425" y="10382250"/>
          <a:ext cx="3143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123825</xdr:colOff>
      <xdr:row>49</xdr:row>
      <xdr:rowOff>9525</xdr:rowOff>
    </xdr:from>
    <xdr:to>
      <xdr:col>10</xdr:col>
      <xdr:colOff>419100</xdr:colOff>
      <xdr:row>50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7381875" y="10382250"/>
          <a:ext cx="295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0</xdr:colOff>
      <xdr:row>53</xdr:row>
      <xdr:rowOff>171450</xdr:rowOff>
    </xdr:from>
    <xdr:to>
      <xdr:col>14</xdr:col>
      <xdr:colOff>0</xdr:colOff>
      <xdr:row>56</xdr:row>
      <xdr:rowOff>28575</xdr:rowOff>
    </xdr:to>
    <xdr:sp>
      <xdr:nvSpPr>
        <xdr:cNvPr id="9" name="Rectangle 9"/>
        <xdr:cNvSpPr>
          <a:spLocks/>
        </xdr:cNvSpPr>
      </xdr:nvSpPr>
      <xdr:spPr>
        <a:xfrm flipH="1">
          <a:off x="9134475" y="1154430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14</xdr:col>
      <xdr:colOff>0</xdr:colOff>
      <xdr:row>49</xdr:row>
      <xdr:rowOff>9525</xdr:rowOff>
    </xdr:from>
    <xdr:to>
      <xdr:col>14</xdr:col>
      <xdr:colOff>0</xdr:colOff>
      <xdr:row>49</xdr:row>
      <xdr:rowOff>200025</xdr:rowOff>
    </xdr:to>
    <xdr:sp>
      <xdr:nvSpPr>
        <xdr:cNvPr id="10" name="Rectangle 10"/>
        <xdr:cNvSpPr>
          <a:spLocks/>
        </xdr:cNvSpPr>
      </xdr:nvSpPr>
      <xdr:spPr>
        <a:xfrm>
          <a:off x="9134475" y="10382250"/>
          <a:ext cx="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0</xdr:colOff>
      <xdr:row>49</xdr:row>
      <xdr:rowOff>9525</xdr:rowOff>
    </xdr:from>
    <xdr:to>
      <xdr:col>14</xdr:col>
      <xdr:colOff>0</xdr:colOff>
      <xdr:row>49</xdr:row>
      <xdr:rowOff>209550</xdr:rowOff>
    </xdr:to>
    <xdr:sp>
      <xdr:nvSpPr>
        <xdr:cNvPr id="11" name="Rectangle 11"/>
        <xdr:cNvSpPr>
          <a:spLocks/>
        </xdr:cNvSpPr>
      </xdr:nvSpPr>
      <xdr:spPr>
        <a:xfrm>
          <a:off x="9134475" y="10382250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72961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81915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0</xdr:colOff>
      <xdr:row>152</xdr:row>
      <xdr:rowOff>0</xdr:rowOff>
    </xdr:from>
    <xdr:to>
      <xdr:col>14</xdr:col>
      <xdr:colOff>0</xdr:colOff>
      <xdr:row>152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9134475" y="2896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0</xdr:colOff>
      <xdr:row>152</xdr:row>
      <xdr:rowOff>0</xdr:rowOff>
    </xdr:from>
    <xdr:to>
      <xdr:col>14</xdr:col>
      <xdr:colOff>0</xdr:colOff>
      <xdr:row>152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9134475" y="2896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0</xdr:colOff>
      <xdr:row>152</xdr:row>
      <xdr:rowOff>0</xdr:rowOff>
    </xdr:from>
    <xdr:to>
      <xdr:col>14</xdr:col>
      <xdr:colOff>0</xdr:colOff>
      <xdr:row>152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9134475" y="2896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0</xdr:colOff>
      <xdr:row>49</xdr:row>
      <xdr:rowOff>9525</xdr:rowOff>
    </xdr:from>
    <xdr:to>
      <xdr:col>14</xdr:col>
      <xdr:colOff>0</xdr:colOff>
      <xdr:row>49</xdr:row>
      <xdr:rowOff>209550</xdr:rowOff>
    </xdr:to>
    <xdr:sp>
      <xdr:nvSpPr>
        <xdr:cNvPr id="17" name="Rectangle 17"/>
        <xdr:cNvSpPr>
          <a:spLocks/>
        </xdr:cNvSpPr>
      </xdr:nvSpPr>
      <xdr:spPr>
        <a:xfrm>
          <a:off x="9134475" y="10382250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0</xdr:colOff>
      <xdr:row>49</xdr:row>
      <xdr:rowOff>9525</xdr:rowOff>
    </xdr:from>
    <xdr:to>
      <xdr:col>14</xdr:col>
      <xdr:colOff>0</xdr:colOff>
      <xdr:row>50</xdr:row>
      <xdr:rowOff>9525</xdr:rowOff>
    </xdr:to>
    <xdr:sp>
      <xdr:nvSpPr>
        <xdr:cNvPr id="18" name="Rectangle 18"/>
        <xdr:cNvSpPr>
          <a:spLocks/>
        </xdr:cNvSpPr>
      </xdr:nvSpPr>
      <xdr:spPr>
        <a:xfrm>
          <a:off x="9134475" y="10382250"/>
          <a:ext cx="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0</xdr:colOff>
      <xdr:row>49</xdr:row>
      <xdr:rowOff>9525</xdr:rowOff>
    </xdr:from>
    <xdr:to>
      <xdr:col>14</xdr:col>
      <xdr:colOff>0</xdr:colOff>
      <xdr:row>49</xdr:row>
      <xdr:rowOff>209550</xdr:rowOff>
    </xdr:to>
    <xdr:sp>
      <xdr:nvSpPr>
        <xdr:cNvPr id="19" name="Rectangle 19"/>
        <xdr:cNvSpPr>
          <a:spLocks/>
        </xdr:cNvSpPr>
      </xdr:nvSpPr>
      <xdr:spPr>
        <a:xfrm>
          <a:off x="9134475" y="10382250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152</xdr:row>
      <xdr:rowOff>0</xdr:rowOff>
    </xdr:from>
    <xdr:to>
      <xdr:col>8</xdr:col>
      <xdr:colOff>314325</xdr:colOff>
      <xdr:row>152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63817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19050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72771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38100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82105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0</xdr:colOff>
      <xdr:row>152</xdr:row>
      <xdr:rowOff>0</xdr:rowOff>
    </xdr:from>
    <xdr:to>
      <xdr:col>14</xdr:col>
      <xdr:colOff>0</xdr:colOff>
      <xdr:row>152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9134475" y="2896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0</xdr:colOff>
      <xdr:row>152</xdr:row>
      <xdr:rowOff>0</xdr:rowOff>
    </xdr:from>
    <xdr:to>
      <xdr:col>14</xdr:col>
      <xdr:colOff>0</xdr:colOff>
      <xdr:row>152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9134475" y="2896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0</xdr:colOff>
      <xdr:row>51</xdr:row>
      <xdr:rowOff>171450</xdr:rowOff>
    </xdr:from>
    <xdr:to>
      <xdr:col>14</xdr:col>
      <xdr:colOff>0</xdr:colOff>
      <xdr:row>53</xdr:row>
      <xdr:rowOff>28575</xdr:rowOff>
    </xdr:to>
    <xdr:sp>
      <xdr:nvSpPr>
        <xdr:cNvPr id="25" name="Rectangle 25"/>
        <xdr:cNvSpPr>
          <a:spLocks/>
        </xdr:cNvSpPr>
      </xdr:nvSpPr>
      <xdr:spPr>
        <a:xfrm flipH="1">
          <a:off x="9134475" y="11058525"/>
          <a:ext cx="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38100</xdr:colOff>
      <xdr:row>152</xdr:row>
      <xdr:rowOff>0</xdr:rowOff>
    </xdr:from>
    <xdr:to>
      <xdr:col>8</xdr:col>
      <xdr:colOff>314325</xdr:colOff>
      <xdr:row>152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63817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19050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72771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38100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82105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0</xdr:colOff>
      <xdr:row>152</xdr:row>
      <xdr:rowOff>0</xdr:rowOff>
    </xdr:from>
    <xdr:to>
      <xdr:col>14</xdr:col>
      <xdr:colOff>0</xdr:colOff>
      <xdr:row>152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9134475" y="2896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0</xdr:colOff>
      <xdr:row>152</xdr:row>
      <xdr:rowOff>0</xdr:rowOff>
    </xdr:from>
    <xdr:to>
      <xdr:col>14</xdr:col>
      <xdr:colOff>0</xdr:colOff>
      <xdr:row>152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9134475" y="2896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152</xdr:row>
      <xdr:rowOff>0</xdr:rowOff>
    </xdr:from>
    <xdr:to>
      <xdr:col>8</xdr:col>
      <xdr:colOff>314325</xdr:colOff>
      <xdr:row>152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63817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19050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72771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152</xdr:row>
      <xdr:rowOff>0</xdr:rowOff>
    </xdr:from>
    <xdr:to>
      <xdr:col>8</xdr:col>
      <xdr:colOff>314325</xdr:colOff>
      <xdr:row>152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63817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19050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72771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35" name="Rectangle 35"/>
        <xdr:cNvSpPr>
          <a:spLocks/>
        </xdr:cNvSpPr>
      </xdr:nvSpPr>
      <xdr:spPr>
        <a:xfrm>
          <a:off x="72961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81915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0</xdr:colOff>
      <xdr:row>152</xdr:row>
      <xdr:rowOff>0</xdr:rowOff>
    </xdr:from>
    <xdr:to>
      <xdr:col>14</xdr:col>
      <xdr:colOff>0</xdr:colOff>
      <xdr:row>152</xdr:row>
      <xdr:rowOff>0</xdr:rowOff>
    </xdr:to>
    <xdr:sp>
      <xdr:nvSpPr>
        <xdr:cNvPr id="37" name="Rectangle 37"/>
        <xdr:cNvSpPr>
          <a:spLocks/>
        </xdr:cNvSpPr>
      </xdr:nvSpPr>
      <xdr:spPr>
        <a:xfrm>
          <a:off x="9134475" y="2896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0</xdr:colOff>
      <xdr:row>152</xdr:row>
      <xdr:rowOff>0</xdr:rowOff>
    </xdr:from>
    <xdr:to>
      <xdr:col>14</xdr:col>
      <xdr:colOff>0</xdr:colOff>
      <xdr:row>152</xdr:row>
      <xdr:rowOff>0</xdr:rowOff>
    </xdr:to>
    <xdr:sp>
      <xdr:nvSpPr>
        <xdr:cNvPr id="38" name="Rectangle 38"/>
        <xdr:cNvSpPr>
          <a:spLocks/>
        </xdr:cNvSpPr>
      </xdr:nvSpPr>
      <xdr:spPr>
        <a:xfrm>
          <a:off x="9134475" y="2896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0</xdr:colOff>
      <xdr:row>152</xdr:row>
      <xdr:rowOff>0</xdr:rowOff>
    </xdr:from>
    <xdr:to>
      <xdr:col>14</xdr:col>
      <xdr:colOff>0</xdr:colOff>
      <xdr:row>152</xdr:row>
      <xdr:rowOff>0</xdr:rowOff>
    </xdr:to>
    <xdr:sp>
      <xdr:nvSpPr>
        <xdr:cNvPr id="39" name="Rectangle 39"/>
        <xdr:cNvSpPr>
          <a:spLocks/>
        </xdr:cNvSpPr>
      </xdr:nvSpPr>
      <xdr:spPr>
        <a:xfrm>
          <a:off x="9134475" y="2896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0</xdr:colOff>
      <xdr:row>51</xdr:row>
      <xdr:rowOff>171450</xdr:rowOff>
    </xdr:from>
    <xdr:to>
      <xdr:col>14</xdr:col>
      <xdr:colOff>0</xdr:colOff>
      <xdr:row>53</xdr:row>
      <xdr:rowOff>28575</xdr:rowOff>
    </xdr:to>
    <xdr:sp>
      <xdr:nvSpPr>
        <xdr:cNvPr id="40" name="Rectangle 40"/>
        <xdr:cNvSpPr>
          <a:spLocks/>
        </xdr:cNvSpPr>
      </xdr:nvSpPr>
      <xdr:spPr>
        <a:xfrm flipH="1">
          <a:off x="9134475" y="11058525"/>
          <a:ext cx="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38100</xdr:colOff>
      <xdr:row>152</xdr:row>
      <xdr:rowOff>0</xdr:rowOff>
    </xdr:from>
    <xdr:to>
      <xdr:col>6</xdr:col>
      <xdr:colOff>314325</xdr:colOff>
      <xdr:row>152</xdr:row>
      <xdr:rowOff>0</xdr:rowOff>
    </xdr:to>
    <xdr:sp>
      <xdr:nvSpPr>
        <xdr:cNvPr id="41" name="Rectangle 41"/>
        <xdr:cNvSpPr>
          <a:spLocks/>
        </xdr:cNvSpPr>
      </xdr:nvSpPr>
      <xdr:spPr>
        <a:xfrm>
          <a:off x="54673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42" name="Rectangle 42"/>
        <xdr:cNvSpPr>
          <a:spLocks/>
        </xdr:cNvSpPr>
      </xdr:nvSpPr>
      <xdr:spPr>
        <a:xfrm>
          <a:off x="81915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0</xdr:colOff>
      <xdr:row>152</xdr:row>
      <xdr:rowOff>0</xdr:rowOff>
    </xdr:from>
    <xdr:to>
      <xdr:col>14</xdr:col>
      <xdr:colOff>0</xdr:colOff>
      <xdr:row>152</xdr:row>
      <xdr:rowOff>0</xdr:rowOff>
    </xdr:to>
    <xdr:sp>
      <xdr:nvSpPr>
        <xdr:cNvPr id="43" name="Rectangle 43"/>
        <xdr:cNvSpPr>
          <a:spLocks/>
        </xdr:cNvSpPr>
      </xdr:nvSpPr>
      <xdr:spPr>
        <a:xfrm>
          <a:off x="9134475" y="2896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0</xdr:colOff>
      <xdr:row>152</xdr:row>
      <xdr:rowOff>0</xdr:rowOff>
    </xdr:from>
    <xdr:to>
      <xdr:col>14</xdr:col>
      <xdr:colOff>0</xdr:colOff>
      <xdr:row>152</xdr:row>
      <xdr:rowOff>0</xdr:rowOff>
    </xdr:to>
    <xdr:sp>
      <xdr:nvSpPr>
        <xdr:cNvPr id="44" name="Rectangle 44"/>
        <xdr:cNvSpPr>
          <a:spLocks/>
        </xdr:cNvSpPr>
      </xdr:nvSpPr>
      <xdr:spPr>
        <a:xfrm>
          <a:off x="9134475" y="2896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0</xdr:colOff>
      <xdr:row>152</xdr:row>
      <xdr:rowOff>0</xdr:rowOff>
    </xdr:from>
    <xdr:to>
      <xdr:col>14</xdr:col>
      <xdr:colOff>0</xdr:colOff>
      <xdr:row>152</xdr:row>
      <xdr:rowOff>0</xdr:rowOff>
    </xdr:to>
    <xdr:sp>
      <xdr:nvSpPr>
        <xdr:cNvPr id="45" name="Rectangle 45"/>
        <xdr:cNvSpPr>
          <a:spLocks/>
        </xdr:cNvSpPr>
      </xdr:nvSpPr>
      <xdr:spPr>
        <a:xfrm>
          <a:off x="9134475" y="2896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46" name="Rectangle 46"/>
        <xdr:cNvSpPr>
          <a:spLocks/>
        </xdr:cNvSpPr>
      </xdr:nvSpPr>
      <xdr:spPr>
        <a:xfrm>
          <a:off x="72961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19050</xdr:colOff>
      <xdr:row>152</xdr:row>
      <xdr:rowOff>0</xdr:rowOff>
    </xdr:from>
    <xdr:to>
      <xdr:col>8</xdr:col>
      <xdr:colOff>314325</xdr:colOff>
      <xdr:row>152</xdr:row>
      <xdr:rowOff>0</xdr:rowOff>
    </xdr:to>
    <xdr:sp>
      <xdr:nvSpPr>
        <xdr:cNvPr id="47" name="Rectangle 47"/>
        <xdr:cNvSpPr>
          <a:spLocks/>
        </xdr:cNvSpPr>
      </xdr:nvSpPr>
      <xdr:spPr>
        <a:xfrm>
          <a:off x="63627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48" name="Rectangle 48"/>
        <xdr:cNvSpPr>
          <a:spLocks/>
        </xdr:cNvSpPr>
      </xdr:nvSpPr>
      <xdr:spPr>
        <a:xfrm>
          <a:off x="72961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0</xdr:colOff>
      <xdr:row>152</xdr:row>
      <xdr:rowOff>0</xdr:rowOff>
    </xdr:from>
    <xdr:to>
      <xdr:col>14</xdr:col>
      <xdr:colOff>0</xdr:colOff>
      <xdr:row>152</xdr:row>
      <xdr:rowOff>0</xdr:rowOff>
    </xdr:to>
    <xdr:sp>
      <xdr:nvSpPr>
        <xdr:cNvPr id="49" name="Rectangle 49"/>
        <xdr:cNvSpPr>
          <a:spLocks/>
        </xdr:cNvSpPr>
      </xdr:nvSpPr>
      <xdr:spPr>
        <a:xfrm>
          <a:off x="9134475" y="2896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0</xdr:colOff>
      <xdr:row>152</xdr:row>
      <xdr:rowOff>0</xdr:rowOff>
    </xdr:from>
    <xdr:to>
      <xdr:col>14</xdr:col>
      <xdr:colOff>0</xdr:colOff>
      <xdr:row>152</xdr:row>
      <xdr:rowOff>0</xdr:rowOff>
    </xdr:to>
    <xdr:sp>
      <xdr:nvSpPr>
        <xdr:cNvPr id="50" name="Rectangle 50"/>
        <xdr:cNvSpPr>
          <a:spLocks/>
        </xdr:cNvSpPr>
      </xdr:nvSpPr>
      <xdr:spPr>
        <a:xfrm>
          <a:off x="9134475" y="2896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0</xdr:colOff>
      <xdr:row>53</xdr:row>
      <xdr:rowOff>171450</xdr:rowOff>
    </xdr:from>
    <xdr:to>
      <xdr:col>14</xdr:col>
      <xdr:colOff>0</xdr:colOff>
      <xdr:row>56</xdr:row>
      <xdr:rowOff>28575</xdr:rowOff>
    </xdr:to>
    <xdr:sp>
      <xdr:nvSpPr>
        <xdr:cNvPr id="51" name="Rectangle 51"/>
        <xdr:cNvSpPr>
          <a:spLocks/>
        </xdr:cNvSpPr>
      </xdr:nvSpPr>
      <xdr:spPr>
        <a:xfrm flipH="1">
          <a:off x="9134475" y="1154430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14</xdr:col>
      <xdr:colOff>0</xdr:colOff>
      <xdr:row>49</xdr:row>
      <xdr:rowOff>9525</xdr:rowOff>
    </xdr:from>
    <xdr:to>
      <xdr:col>14</xdr:col>
      <xdr:colOff>0</xdr:colOff>
      <xdr:row>49</xdr:row>
      <xdr:rowOff>200025</xdr:rowOff>
    </xdr:to>
    <xdr:sp>
      <xdr:nvSpPr>
        <xdr:cNvPr id="52" name="Rectangle 52"/>
        <xdr:cNvSpPr>
          <a:spLocks/>
        </xdr:cNvSpPr>
      </xdr:nvSpPr>
      <xdr:spPr>
        <a:xfrm>
          <a:off x="9134475" y="10382250"/>
          <a:ext cx="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0</xdr:colOff>
      <xdr:row>49</xdr:row>
      <xdr:rowOff>9525</xdr:rowOff>
    </xdr:from>
    <xdr:to>
      <xdr:col>14</xdr:col>
      <xdr:colOff>0</xdr:colOff>
      <xdr:row>49</xdr:row>
      <xdr:rowOff>209550</xdr:rowOff>
    </xdr:to>
    <xdr:sp>
      <xdr:nvSpPr>
        <xdr:cNvPr id="53" name="Rectangle 53"/>
        <xdr:cNvSpPr>
          <a:spLocks/>
        </xdr:cNvSpPr>
      </xdr:nvSpPr>
      <xdr:spPr>
        <a:xfrm>
          <a:off x="9134475" y="10382250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54" name="Rectangle 54"/>
        <xdr:cNvSpPr>
          <a:spLocks/>
        </xdr:cNvSpPr>
      </xdr:nvSpPr>
      <xdr:spPr>
        <a:xfrm>
          <a:off x="72961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55" name="Rectangle 55"/>
        <xdr:cNvSpPr>
          <a:spLocks/>
        </xdr:cNvSpPr>
      </xdr:nvSpPr>
      <xdr:spPr>
        <a:xfrm>
          <a:off x="81915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0</xdr:colOff>
      <xdr:row>152</xdr:row>
      <xdr:rowOff>0</xdr:rowOff>
    </xdr:from>
    <xdr:to>
      <xdr:col>14</xdr:col>
      <xdr:colOff>0</xdr:colOff>
      <xdr:row>152</xdr:row>
      <xdr:rowOff>0</xdr:rowOff>
    </xdr:to>
    <xdr:sp>
      <xdr:nvSpPr>
        <xdr:cNvPr id="56" name="Rectangle 56"/>
        <xdr:cNvSpPr>
          <a:spLocks/>
        </xdr:cNvSpPr>
      </xdr:nvSpPr>
      <xdr:spPr>
        <a:xfrm>
          <a:off x="9134475" y="2896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0</xdr:colOff>
      <xdr:row>152</xdr:row>
      <xdr:rowOff>0</xdr:rowOff>
    </xdr:from>
    <xdr:to>
      <xdr:col>14</xdr:col>
      <xdr:colOff>0</xdr:colOff>
      <xdr:row>152</xdr:row>
      <xdr:rowOff>0</xdr:rowOff>
    </xdr:to>
    <xdr:sp>
      <xdr:nvSpPr>
        <xdr:cNvPr id="57" name="Rectangle 57"/>
        <xdr:cNvSpPr>
          <a:spLocks/>
        </xdr:cNvSpPr>
      </xdr:nvSpPr>
      <xdr:spPr>
        <a:xfrm>
          <a:off x="9134475" y="2896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0</xdr:colOff>
      <xdr:row>152</xdr:row>
      <xdr:rowOff>0</xdr:rowOff>
    </xdr:from>
    <xdr:to>
      <xdr:col>14</xdr:col>
      <xdr:colOff>0</xdr:colOff>
      <xdr:row>152</xdr:row>
      <xdr:rowOff>0</xdr:rowOff>
    </xdr:to>
    <xdr:sp>
      <xdr:nvSpPr>
        <xdr:cNvPr id="58" name="Rectangle 58"/>
        <xdr:cNvSpPr>
          <a:spLocks/>
        </xdr:cNvSpPr>
      </xdr:nvSpPr>
      <xdr:spPr>
        <a:xfrm>
          <a:off x="9134475" y="2896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0</xdr:colOff>
      <xdr:row>49</xdr:row>
      <xdr:rowOff>9525</xdr:rowOff>
    </xdr:from>
    <xdr:to>
      <xdr:col>14</xdr:col>
      <xdr:colOff>0</xdr:colOff>
      <xdr:row>49</xdr:row>
      <xdr:rowOff>209550</xdr:rowOff>
    </xdr:to>
    <xdr:sp>
      <xdr:nvSpPr>
        <xdr:cNvPr id="59" name="Rectangle 59"/>
        <xdr:cNvSpPr>
          <a:spLocks/>
        </xdr:cNvSpPr>
      </xdr:nvSpPr>
      <xdr:spPr>
        <a:xfrm>
          <a:off x="9134475" y="10382250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0</xdr:colOff>
      <xdr:row>49</xdr:row>
      <xdr:rowOff>9525</xdr:rowOff>
    </xdr:from>
    <xdr:to>
      <xdr:col>14</xdr:col>
      <xdr:colOff>0</xdr:colOff>
      <xdr:row>50</xdr:row>
      <xdr:rowOff>9525</xdr:rowOff>
    </xdr:to>
    <xdr:sp>
      <xdr:nvSpPr>
        <xdr:cNvPr id="60" name="Rectangle 60"/>
        <xdr:cNvSpPr>
          <a:spLocks/>
        </xdr:cNvSpPr>
      </xdr:nvSpPr>
      <xdr:spPr>
        <a:xfrm>
          <a:off x="9134475" y="10382250"/>
          <a:ext cx="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/>
          </a:r>
        </a:p>
      </xdr:txBody>
    </xdr:sp>
    <xdr:clientData/>
  </xdr:twoCellAnchor>
  <xdr:twoCellAnchor>
    <xdr:from>
      <xdr:col>14</xdr:col>
      <xdr:colOff>0</xdr:colOff>
      <xdr:row>49</xdr:row>
      <xdr:rowOff>9525</xdr:rowOff>
    </xdr:from>
    <xdr:to>
      <xdr:col>14</xdr:col>
      <xdr:colOff>0</xdr:colOff>
      <xdr:row>49</xdr:row>
      <xdr:rowOff>209550</xdr:rowOff>
    </xdr:to>
    <xdr:sp>
      <xdr:nvSpPr>
        <xdr:cNvPr id="61" name="Rectangle 61"/>
        <xdr:cNvSpPr>
          <a:spLocks/>
        </xdr:cNvSpPr>
      </xdr:nvSpPr>
      <xdr:spPr>
        <a:xfrm>
          <a:off x="9134475" y="10382250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152</xdr:row>
      <xdr:rowOff>0</xdr:rowOff>
    </xdr:from>
    <xdr:to>
      <xdr:col>8</xdr:col>
      <xdr:colOff>314325</xdr:colOff>
      <xdr:row>152</xdr:row>
      <xdr:rowOff>0</xdr:rowOff>
    </xdr:to>
    <xdr:sp>
      <xdr:nvSpPr>
        <xdr:cNvPr id="62" name="Rectangle 62"/>
        <xdr:cNvSpPr>
          <a:spLocks/>
        </xdr:cNvSpPr>
      </xdr:nvSpPr>
      <xdr:spPr>
        <a:xfrm>
          <a:off x="63817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19050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63" name="Rectangle 63"/>
        <xdr:cNvSpPr>
          <a:spLocks/>
        </xdr:cNvSpPr>
      </xdr:nvSpPr>
      <xdr:spPr>
        <a:xfrm>
          <a:off x="72771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38100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64" name="Rectangle 64"/>
        <xdr:cNvSpPr>
          <a:spLocks/>
        </xdr:cNvSpPr>
      </xdr:nvSpPr>
      <xdr:spPr>
        <a:xfrm>
          <a:off x="82105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0</xdr:colOff>
      <xdr:row>152</xdr:row>
      <xdr:rowOff>0</xdr:rowOff>
    </xdr:from>
    <xdr:to>
      <xdr:col>14</xdr:col>
      <xdr:colOff>0</xdr:colOff>
      <xdr:row>152</xdr:row>
      <xdr:rowOff>0</xdr:rowOff>
    </xdr:to>
    <xdr:sp>
      <xdr:nvSpPr>
        <xdr:cNvPr id="65" name="Rectangle 65"/>
        <xdr:cNvSpPr>
          <a:spLocks/>
        </xdr:cNvSpPr>
      </xdr:nvSpPr>
      <xdr:spPr>
        <a:xfrm>
          <a:off x="9134475" y="2896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0</xdr:colOff>
      <xdr:row>152</xdr:row>
      <xdr:rowOff>0</xdr:rowOff>
    </xdr:from>
    <xdr:to>
      <xdr:col>14</xdr:col>
      <xdr:colOff>0</xdr:colOff>
      <xdr:row>152</xdr:row>
      <xdr:rowOff>0</xdr:rowOff>
    </xdr:to>
    <xdr:sp>
      <xdr:nvSpPr>
        <xdr:cNvPr id="66" name="Rectangle 66"/>
        <xdr:cNvSpPr>
          <a:spLocks/>
        </xdr:cNvSpPr>
      </xdr:nvSpPr>
      <xdr:spPr>
        <a:xfrm>
          <a:off x="9134475" y="2896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0</xdr:colOff>
      <xdr:row>51</xdr:row>
      <xdr:rowOff>171450</xdr:rowOff>
    </xdr:from>
    <xdr:to>
      <xdr:col>14</xdr:col>
      <xdr:colOff>0</xdr:colOff>
      <xdr:row>53</xdr:row>
      <xdr:rowOff>28575</xdr:rowOff>
    </xdr:to>
    <xdr:sp>
      <xdr:nvSpPr>
        <xdr:cNvPr id="67" name="Rectangle 67"/>
        <xdr:cNvSpPr>
          <a:spLocks/>
        </xdr:cNvSpPr>
      </xdr:nvSpPr>
      <xdr:spPr>
        <a:xfrm flipH="1">
          <a:off x="9134475" y="11058525"/>
          <a:ext cx="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38100</xdr:colOff>
      <xdr:row>152</xdr:row>
      <xdr:rowOff>0</xdr:rowOff>
    </xdr:from>
    <xdr:to>
      <xdr:col>8</xdr:col>
      <xdr:colOff>314325</xdr:colOff>
      <xdr:row>152</xdr:row>
      <xdr:rowOff>0</xdr:rowOff>
    </xdr:to>
    <xdr:sp>
      <xdr:nvSpPr>
        <xdr:cNvPr id="68" name="Rectangle 68"/>
        <xdr:cNvSpPr>
          <a:spLocks/>
        </xdr:cNvSpPr>
      </xdr:nvSpPr>
      <xdr:spPr>
        <a:xfrm>
          <a:off x="63817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19050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69" name="Rectangle 69"/>
        <xdr:cNvSpPr>
          <a:spLocks/>
        </xdr:cNvSpPr>
      </xdr:nvSpPr>
      <xdr:spPr>
        <a:xfrm>
          <a:off x="72771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38100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70" name="Rectangle 70"/>
        <xdr:cNvSpPr>
          <a:spLocks/>
        </xdr:cNvSpPr>
      </xdr:nvSpPr>
      <xdr:spPr>
        <a:xfrm>
          <a:off x="82105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0</xdr:colOff>
      <xdr:row>152</xdr:row>
      <xdr:rowOff>0</xdr:rowOff>
    </xdr:from>
    <xdr:to>
      <xdr:col>14</xdr:col>
      <xdr:colOff>0</xdr:colOff>
      <xdr:row>152</xdr:row>
      <xdr:rowOff>0</xdr:rowOff>
    </xdr:to>
    <xdr:sp>
      <xdr:nvSpPr>
        <xdr:cNvPr id="71" name="Rectangle 71"/>
        <xdr:cNvSpPr>
          <a:spLocks/>
        </xdr:cNvSpPr>
      </xdr:nvSpPr>
      <xdr:spPr>
        <a:xfrm>
          <a:off x="9134475" y="2896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0</xdr:colOff>
      <xdr:row>152</xdr:row>
      <xdr:rowOff>0</xdr:rowOff>
    </xdr:from>
    <xdr:to>
      <xdr:col>14</xdr:col>
      <xdr:colOff>0</xdr:colOff>
      <xdr:row>152</xdr:row>
      <xdr:rowOff>0</xdr:rowOff>
    </xdr:to>
    <xdr:sp>
      <xdr:nvSpPr>
        <xdr:cNvPr id="72" name="Rectangle 72"/>
        <xdr:cNvSpPr>
          <a:spLocks/>
        </xdr:cNvSpPr>
      </xdr:nvSpPr>
      <xdr:spPr>
        <a:xfrm>
          <a:off x="9134475" y="2896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152</xdr:row>
      <xdr:rowOff>0</xdr:rowOff>
    </xdr:from>
    <xdr:to>
      <xdr:col>8</xdr:col>
      <xdr:colOff>314325</xdr:colOff>
      <xdr:row>152</xdr:row>
      <xdr:rowOff>0</xdr:rowOff>
    </xdr:to>
    <xdr:sp>
      <xdr:nvSpPr>
        <xdr:cNvPr id="73" name="Rectangle 73"/>
        <xdr:cNvSpPr>
          <a:spLocks/>
        </xdr:cNvSpPr>
      </xdr:nvSpPr>
      <xdr:spPr>
        <a:xfrm>
          <a:off x="63817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19050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74" name="Rectangle 74"/>
        <xdr:cNvSpPr>
          <a:spLocks/>
        </xdr:cNvSpPr>
      </xdr:nvSpPr>
      <xdr:spPr>
        <a:xfrm>
          <a:off x="72771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38100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75" name="Rectangle 75"/>
        <xdr:cNvSpPr>
          <a:spLocks/>
        </xdr:cNvSpPr>
      </xdr:nvSpPr>
      <xdr:spPr>
        <a:xfrm>
          <a:off x="82105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0</xdr:colOff>
      <xdr:row>152</xdr:row>
      <xdr:rowOff>0</xdr:rowOff>
    </xdr:from>
    <xdr:to>
      <xdr:col>14</xdr:col>
      <xdr:colOff>0</xdr:colOff>
      <xdr:row>152</xdr:row>
      <xdr:rowOff>0</xdr:rowOff>
    </xdr:to>
    <xdr:sp>
      <xdr:nvSpPr>
        <xdr:cNvPr id="76" name="Rectangle 76"/>
        <xdr:cNvSpPr>
          <a:spLocks/>
        </xdr:cNvSpPr>
      </xdr:nvSpPr>
      <xdr:spPr>
        <a:xfrm>
          <a:off x="9134475" y="2896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77" name="Rectangle 77"/>
        <xdr:cNvSpPr>
          <a:spLocks/>
        </xdr:cNvSpPr>
      </xdr:nvSpPr>
      <xdr:spPr>
        <a:xfrm>
          <a:off x="72961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78" name="Rectangle 78"/>
        <xdr:cNvSpPr>
          <a:spLocks/>
        </xdr:cNvSpPr>
      </xdr:nvSpPr>
      <xdr:spPr>
        <a:xfrm>
          <a:off x="81915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0</xdr:colOff>
      <xdr:row>152</xdr:row>
      <xdr:rowOff>0</xdr:rowOff>
    </xdr:from>
    <xdr:to>
      <xdr:col>14</xdr:col>
      <xdr:colOff>0</xdr:colOff>
      <xdr:row>152</xdr:row>
      <xdr:rowOff>0</xdr:rowOff>
    </xdr:to>
    <xdr:sp>
      <xdr:nvSpPr>
        <xdr:cNvPr id="79" name="Rectangle 79"/>
        <xdr:cNvSpPr>
          <a:spLocks/>
        </xdr:cNvSpPr>
      </xdr:nvSpPr>
      <xdr:spPr>
        <a:xfrm>
          <a:off x="9134475" y="2896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0</xdr:colOff>
      <xdr:row>152</xdr:row>
      <xdr:rowOff>0</xdr:rowOff>
    </xdr:from>
    <xdr:to>
      <xdr:col>14</xdr:col>
      <xdr:colOff>0</xdr:colOff>
      <xdr:row>152</xdr:row>
      <xdr:rowOff>0</xdr:rowOff>
    </xdr:to>
    <xdr:sp>
      <xdr:nvSpPr>
        <xdr:cNvPr id="80" name="Rectangle 80"/>
        <xdr:cNvSpPr>
          <a:spLocks/>
        </xdr:cNvSpPr>
      </xdr:nvSpPr>
      <xdr:spPr>
        <a:xfrm>
          <a:off x="9134475" y="2896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0</xdr:colOff>
      <xdr:row>152</xdr:row>
      <xdr:rowOff>0</xdr:rowOff>
    </xdr:from>
    <xdr:to>
      <xdr:col>14</xdr:col>
      <xdr:colOff>0</xdr:colOff>
      <xdr:row>152</xdr:row>
      <xdr:rowOff>0</xdr:rowOff>
    </xdr:to>
    <xdr:sp>
      <xdr:nvSpPr>
        <xdr:cNvPr id="81" name="Rectangle 81"/>
        <xdr:cNvSpPr>
          <a:spLocks/>
        </xdr:cNvSpPr>
      </xdr:nvSpPr>
      <xdr:spPr>
        <a:xfrm>
          <a:off x="9134475" y="2896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0</xdr:colOff>
      <xdr:row>51</xdr:row>
      <xdr:rowOff>171450</xdr:rowOff>
    </xdr:from>
    <xdr:to>
      <xdr:col>14</xdr:col>
      <xdr:colOff>0</xdr:colOff>
      <xdr:row>53</xdr:row>
      <xdr:rowOff>28575</xdr:rowOff>
    </xdr:to>
    <xdr:sp>
      <xdr:nvSpPr>
        <xdr:cNvPr id="82" name="Rectangle 82"/>
        <xdr:cNvSpPr>
          <a:spLocks/>
        </xdr:cNvSpPr>
      </xdr:nvSpPr>
      <xdr:spPr>
        <a:xfrm flipH="1">
          <a:off x="9134475" y="11058525"/>
          <a:ext cx="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38100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83" name="Rectangle 83"/>
        <xdr:cNvSpPr>
          <a:spLocks/>
        </xdr:cNvSpPr>
      </xdr:nvSpPr>
      <xdr:spPr>
        <a:xfrm>
          <a:off x="72961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84" name="Rectangle 84"/>
        <xdr:cNvSpPr>
          <a:spLocks/>
        </xdr:cNvSpPr>
      </xdr:nvSpPr>
      <xdr:spPr>
        <a:xfrm>
          <a:off x="81915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0</xdr:colOff>
      <xdr:row>152</xdr:row>
      <xdr:rowOff>0</xdr:rowOff>
    </xdr:from>
    <xdr:to>
      <xdr:col>14</xdr:col>
      <xdr:colOff>0</xdr:colOff>
      <xdr:row>152</xdr:row>
      <xdr:rowOff>0</xdr:rowOff>
    </xdr:to>
    <xdr:sp>
      <xdr:nvSpPr>
        <xdr:cNvPr id="85" name="Rectangle 85"/>
        <xdr:cNvSpPr>
          <a:spLocks/>
        </xdr:cNvSpPr>
      </xdr:nvSpPr>
      <xdr:spPr>
        <a:xfrm>
          <a:off x="9134475" y="2896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0</xdr:colOff>
      <xdr:row>152</xdr:row>
      <xdr:rowOff>0</xdr:rowOff>
    </xdr:from>
    <xdr:to>
      <xdr:col>14</xdr:col>
      <xdr:colOff>0</xdr:colOff>
      <xdr:row>152</xdr:row>
      <xdr:rowOff>0</xdr:rowOff>
    </xdr:to>
    <xdr:sp>
      <xdr:nvSpPr>
        <xdr:cNvPr id="86" name="Rectangle 86"/>
        <xdr:cNvSpPr>
          <a:spLocks/>
        </xdr:cNvSpPr>
      </xdr:nvSpPr>
      <xdr:spPr>
        <a:xfrm>
          <a:off x="9134475" y="2896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0</xdr:colOff>
      <xdr:row>152</xdr:row>
      <xdr:rowOff>0</xdr:rowOff>
    </xdr:from>
    <xdr:to>
      <xdr:col>14</xdr:col>
      <xdr:colOff>0</xdr:colOff>
      <xdr:row>152</xdr:row>
      <xdr:rowOff>0</xdr:rowOff>
    </xdr:to>
    <xdr:sp>
      <xdr:nvSpPr>
        <xdr:cNvPr id="87" name="Rectangle 87"/>
        <xdr:cNvSpPr>
          <a:spLocks/>
        </xdr:cNvSpPr>
      </xdr:nvSpPr>
      <xdr:spPr>
        <a:xfrm>
          <a:off x="9134475" y="2896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88" name="Rectangle 88"/>
        <xdr:cNvSpPr>
          <a:spLocks/>
        </xdr:cNvSpPr>
      </xdr:nvSpPr>
      <xdr:spPr>
        <a:xfrm>
          <a:off x="72961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89" name="Rectangle 89"/>
        <xdr:cNvSpPr>
          <a:spLocks/>
        </xdr:cNvSpPr>
      </xdr:nvSpPr>
      <xdr:spPr>
        <a:xfrm>
          <a:off x="81915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0</xdr:colOff>
      <xdr:row>152</xdr:row>
      <xdr:rowOff>0</xdr:rowOff>
    </xdr:from>
    <xdr:to>
      <xdr:col>14</xdr:col>
      <xdr:colOff>0</xdr:colOff>
      <xdr:row>152</xdr:row>
      <xdr:rowOff>0</xdr:rowOff>
    </xdr:to>
    <xdr:sp>
      <xdr:nvSpPr>
        <xdr:cNvPr id="90" name="Rectangle 90"/>
        <xdr:cNvSpPr>
          <a:spLocks/>
        </xdr:cNvSpPr>
      </xdr:nvSpPr>
      <xdr:spPr>
        <a:xfrm>
          <a:off x="9134475" y="2896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0</xdr:colOff>
      <xdr:row>152</xdr:row>
      <xdr:rowOff>0</xdr:rowOff>
    </xdr:from>
    <xdr:to>
      <xdr:col>14</xdr:col>
      <xdr:colOff>0</xdr:colOff>
      <xdr:row>152</xdr:row>
      <xdr:rowOff>0</xdr:rowOff>
    </xdr:to>
    <xdr:sp>
      <xdr:nvSpPr>
        <xdr:cNvPr id="91" name="Rectangle 91"/>
        <xdr:cNvSpPr>
          <a:spLocks/>
        </xdr:cNvSpPr>
      </xdr:nvSpPr>
      <xdr:spPr>
        <a:xfrm>
          <a:off x="9134475" y="2896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0</xdr:colOff>
      <xdr:row>152</xdr:row>
      <xdr:rowOff>0</xdr:rowOff>
    </xdr:from>
    <xdr:to>
      <xdr:col>14</xdr:col>
      <xdr:colOff>0</xdr:colOff>
      <xdr:row>152</xdr:row>
      <xdr:rowOff>0</xdr:rowOff>
    </xdr:to>
    <xdr:sp>
      <xdr:nvSpPr>
        <xdr:cNvPr id="92" name="Rectangle 92"/>
        <xdr:cNvSpPr>
          <a:spLocks/>
        </xdr:cNvSpPr>
      </xdr:nvSpPr>
      <xdr:spPr>
        <a:xfrm>
          <a:off x="9134475" y="2896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0</xdr:colOff>
      <xdr:row>53</xdr:row>
      <xdr:rowOff>171450</xdr:rowOff>
    </xdr:from>
    <xdr:to>
      <xdr:col>14</xdr:col>
      <xdr:colOff>0</xdr:colOff>
      <xdr:row>56</xdr:row>
      <xdr:rowOff>28575</xdr:rowOff>
    </xdr:to>
    <xdr:sp>
      <xdr:nvSpPr>
        <xdr:cNvPr id="93" name="Rectangle 93"/>
        <xdr:cNvSpPr>
          <a:spLocks/>
        </xdr:cNvSpPr>
      </xdr:nvSpPr>
      <xdr:spPr>
        <a:xfrm flipH="1">
          <a:off x="9134475" y="1154430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14</xdr:col>
      <xdr:colOff>0</xdr:colOff>
      <xdr:row>49</xdr:row>
      <xdr:rowOff>9525</xdr:rowOff>
    </xdr:from>
    <xdr:to>
      <xdr:col>14</xdr:col>
      <xdr:colOff>0</xdr:colOff>
      <xdr:row>49</xdr:row>
      <xdr:rowOff>200025</xdr:rowOff>
    </xdr:to>
    <xdr:sp>
      <xdr:nvSpPr>
        <xdr:cNvPr id="94" name="Rectangle 94"/>
        <xdr:cNvSpPr>
          <a:spLocks/>
        </xdr:cNvSpPr>
      </xdr:nvSpPr>
      <xdr:spPr>
        <a:xfrm>
          <a:off x="9134475" y="10382250"/>
          <a:ext cx="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/>
          </a:r>
        </a:p>
      </xdr:txBody>
    </xdr:sp>
    <xdr:clientData/>
  </xdr:twoCellAnchor>
  <xdr:twoCellAnchor>
    <xdr:from>
      <xdr:col>10</xdr:col>
      <xdr:colOff>38100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95" name="Rectangle 95"/>
        <xdr:cNvSpPr>
          <a:spLocks/>
        </xdr:cNvSpPr>
      </xdr:nvSpPr>
      <xdr:spPr>
        <a:xfrm>
          <a:off x="72961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96" name="Rectangle 96"/>
        <xdr:cNvSpPr>
          <a:spLocks/>
        </xdr:cNvSpPr>
      </xdr:nvSpPr>
      <xdr:spPr>
        <a:xfrm>
          <a:off x="81915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0</xdr:colOff>
      <xdr:row>152</xdr:row>
      <xdr:rowOff>0</xdr:rowOff>
    </xdr:from>
    <xdr:to>
      <xdr:col>14</xdr:col>
      <xdr:colOff>0</xdr:colOff>
      <xdr:row>152</xdr:row>
      <xdr:rowOff>0</xdr:rowOff>
    </xdr:to>
    <xdr:sp>
      <xdr:nvSpPr>
        <xdr:cNvPr id="97" name="Rectangle 97"/>
        <xdr:cNvSpPr>
          <a:spLocks/>
        </xdr:cNvSpPr>
      </xdr:nvSpPr>
      <xdr:spPr>
        <a:xfrm>
          <a:off x="9134475" y="2896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0</xdr:colOff>
      <xdr:row>152</xdr:row>
      <xdr:rowOff>0</xdr:rowOff>
    </xdr:from>
    <xdr:to>
      <xdr:col>14</xdr:col>
      <xdr:colOff>0</xdr:colOff>
      <xdr:row>152</xdr:row>
      <xdr:rowOff>0</xdr:rowOff>
    </xdr:to>
    <xdr:sp>
      <xdr:nvSpPr>
        <xdr:cNvPr id="98" name="Rectangle 98"/>
        <xdr:cNvSpPr>
          <a:spLocks/>
        </xdr:cNvSpPr>
      </xdr:nvSpPr>
      <xdr:spPr>
        <a:xfrm>
          <a:off x="9134475" y="2896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0</xdr:colOff>
      <xdr:row>152</xdr:row>
      <xdr:rowOff>0</xdr:rowOff>
    </xdr:from>
    <xdr:to>
      <xdr:col>14</xdr:col>
      <xdr:colOff>0</xdr:colOff>
      <xdr:row>152</xdr:row>
      <xdr:rowOff>0</xdr:rowOff>
    </xdr:to>
    <xdr:sp>
      <xdr:nvSpPr>
        <xdr:cNvPr id="99" name="Rectangle 99"/>
        <xdr:cNvSpPr>
          <a:spLocks/>
        </xdr:cNvSpPr>
      </xdr:nvSpPr>
      <xdr:spPr>
        <a:xfrm>
          <a:off x="9134475" y="2896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0</xdr:colOff>
      <xdr:row>49</xdr:row>
      <xdr:rowOff>9525</xdr:rowOff>
    </xdr:from>
    <xdr:to>
      <xdr:col>14</xdr:col>
      <xdr:colOff>0</xdr:colOff>
      <xdr:row>49</xdr:row>
      <xdr:rowOff>209550</xdr:rowOff>
    </xdr:to>
    <xdr:sp>
      <xdr:nvSpPr>
        <xdr:cNvPr id="100" name="Rectangle 100"/>
        <xdr:cNvSpPr>
          <a:spLocks/>
        </xdr:cNvSpPr>
      </xdr:nvSpPr>
      <xdr:spPr>
        <a:xfrm>
          <a:off x="9134475" y="10382250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14</xdr:col>
      <xdr:colOff>0</xdr:colOff>
      <xdr:row>49</xdr:row>
      <xdr:rowOff>9525</xdr:rowOff>
    </xdr:from>
    <xdr:to>
      <xdr:col>14</xdr:col>
      <xdr:colOff>0</xdr:colOff>
      <xdr:row>50</xdr:row>
      <xdr:rowOff>9525</xdr:rowOff>
    </xdr:to>
    <xdr:sp>
      <xdr:nvSpPr>
        <xdr:cNvPr id="101" name="Rectangle 101"/>
        <xdr:cNvSpPr>
          <a:spLocks/>
        </xdr:cNvSpPr>
      </xdr:nvSpPr>
      <xdr:spPr>
        <a:xfrm>
          <a:off x="9134475" y="10382250"/>
          <a:ext cx="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/>
          </a:r>
        </a:p>
      </xdr:txBody>
    </xdr:sp>
    <xdr:clientData/>
  </xdr:twoCellAnchor>
  <xdr:twoCellAnchor>
    <xdr:from>
      <xdr:col>8</xdr:col>
      <xdr:colOff>123825</xdr:colOff>
      <xdr:row>152</xdr:row>
      <xdr:rowOff>0</xdr:rowOff>
    </xdr:from>
    <xdr:to>
      <xdr:col>8</xdr:col>
      <xdr:colOff>400050</xdr:colOff>
      <xdr:row>152</xdr:row>
      <xdr:rowOff>0</xdr:rowOff>
    </xdr:to>
    <xdr:sp>
      <xdr:nvSpPr>
        <xdr:cNvPr id="102" name="Rectangle 102"/>
        <xdr:cNvSpPr>
          <a:spLocks/>
        </xdr:cNvSpPr>
      </xdr:nvSpPr>
      <xdr:spPr>
        <a:xfrm>
          <a:off x="6467475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85725</xdr:colOff>
      <xdr:row>152</xdr:row>
      <xdr:rowOff>0</xdr:rowOff>
    </xdr:from>
    <xdr:to>
      <xdr:col>10</xdr:col>
      <xdr:colOff>409575</xdr:colOff>
      <xdr:row>152</xdr:row>
      <xdr:rowOff>0</xdr:rowOff>
    </xdr:to>
    <xdr:sp>
      <xdr:nvSpPr>
        <xdr:cNvPr id="103" name="Rectangle 103"/>
        <xdr:cNvSpPr>
          <a:spLocks/>
        </xdr:cNvSpPr>
      </xdr:nvSpPr>
      <xdr:spPr>
        <a:xfrm>
          <a:off x="7343775" y="28965525"/>
          <a:ext cx="323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152</xdr:row>
      <xdr:rowOff>0</xdr:rowOff>
    </xdr:from>
    <xdr:to>
      <xdr:col>8</xdr:col>
      <xdr:colOff>381000</xdr:colOff>
      <xdr:row>152</xdr:row>
      <xdr:rowOff>0</xdr:rowOff>
    </xdr:to>
    <xdr:sp>
      <xdr:nvSpPr>
        <xdr:cNvPr id="104" name="Rectangle 104"/>
        <xdr:cNvSpPr>
          <a:spLocks/>
        </xdr:cNvSpPr>
      </xdr:nvSpPr>
      <xdr:spPr>
        <a:xfrm>
          <a:off x="6381750" y="28965525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</a:p>
      </xdr:txBody>
    </xdr:sp>
    <xdr:clientData/>
  </xdr:twoCellAnchor>
  <xdr:twoCellAnchor>
    <xdr:from>
      <xdr:col>14</xdr:col>
      <xdr:colOff>0</xdr:colOff>
      <xdr:row>70</xdr:row>
      <xdr:rowOff>47625</xdr:rowOff>
    </xdr:from>
    <xdr:to>
      <xdr:col>14</xdr:col>
      <xdr:colOff>0</xdr:colOff>
      <xdr:row>70</xdr:row>
      <xdr:rowOff>123825</xdr:rowOff>
    </xdr:to>
    <xdr:sp>
      <xdr:nvSpPr>
        <xdr:cNvPr id="105" name="AutoShape 105"/>
        <xdr:cNvSpPr>
          <a:spLocks/>
        </xdr:cNvSpPr>
      </xdr:nvSpPr>
      <xdr:spPr>
        <a:xfrm>
          <a:off x="9134475" y="13525500"/>
          <a:ext cx="0" cy="76200"/>
        </a:xfrm>
        <a:prstGeom prst="star5">
          <a:avLst/>
        </a:prstGeom>
        <a:solidFill>
          <a:srgbClr val="0000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190500</xdr:colOff>
      <xdr:row>56</xdr:row>
      <xdr:rowOff>85725</xdr:rowOff>
    </xdr:from>
    <xdr:to>
      <xdr:col>0</xdr:col>
      <xdr:colOff>295275</xdr:colOff>
      <xdr:row>56</xdr:row>
      <xdr:rowOff>200025</xdr:rowOff>
    </xdr:to>
    <xdr:sp>
      <xdr:nvSpPr>
        <xdr:cNvPr id="106" name="AutoShape 107"/>
        <xdr:cNvSpPr>
          <a:spLocks/>
        </xdr:cNvSpPr>
      </xdr:nvSpPr>
      <xdr:spPr>
        <a:xfrm flipV="1">
          <a:off x="190500" y="11706225"/>
          <a:ext cx="104775" cy="0"/>
        </a:xfrm>
        <a:prstGeom prst="star5">
          <a:avLst/>
        </a:prstGeom>
        <a:solidFill>
          <a:srgbClr val="0000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123825</xdr:colOff>
      <xdr:row>152</xdr:row>
      <xdr:rowOff>0</xdr:rowOff>
    </xdr:from>
    <xdr:to>
      <xdr:col>8</xdr:col>
      <xdr:colOff>400050</xdr:colOff>
      <xdr:row>152</xdr:row>
      <xdr:rowOff>0</xdr:rowOff>
    </xdr:to>
    <xdr:sp>
      <xdr:nvSpPr>
        <xdr:cNvPr id="107" name="Rectangle 108"/>
        <xdr:cNvSpPr>
          <a:spLocks/>
        </xdr:cNvSpPr>
      </xdr:nvSpPr>
      <xdr:spPr>
        <a:xfrm>
          <a:off x="6467475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152</xdr:row>
      <xdr:rowOff>0</xdr:rowOff>
    </xdr:from>
    <xdr:to>
      <xdr:col>8</xdr:col>
      <xdr:colOff>381000</xdr:colOff>
      <xdr:row>152</xdr:row>
      <xdr:rowOff>0</xdr:rowOff>
    </xdr:to>
    <xdr:sp>
      <xdr:nvSpPr>
        <xdr:cNvPr id="108" name="Rectangle 109"/>
        <xdr:cNvSpPr>
          <a:spLocks/>
        </xdr:cNvSpPr>
      </xdr:nvSpPr>
      <xdr:spPr>
        <a:xfrm>
          <a:off x="6381750" y="28965525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</a:p>
      </xdr:txBody>
    </xdr:sp>
    <xdr:clientData/>
  </xdr:twoCellAnchor>
  <xdr:twoCellAnchor>
    <xdr:from>
      <xdr:col>8</xdr:col>
      <xdr:colOff>123825</xdr:colOff>
      <xdr:row>152</xdr:row>
      <xdr:rowOff>0</xdr:rowOff>
    </xdr:from>
    <xdr:to>
      <xdr:col>8</xdr:col>
      <xdr:colOff>400050</xdr:colOff>
      <xdr:row>152</xdr:row>
      <xdr:rowOff>0</xdr:rowOff>
    </xdr:to>
    <xdr:sp>
      <xdr:nvSpPr>
        <xdr:cNvPr id="109" name="Rectangle 110"/>
        <xdr:cNvSpPr>
          <a:spLocks/>
        </xdr:cNvSpPr>
      </xdr:nvSpPr>
      <xdr:spPr>
        <a:xfrm>
          <a:off x="6467475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152</xdr:row>
      <xdr:rowOff>0</xdr:rowOff>
    </xdr:from>
    <xdr:to>
      <xdr:col>8</xdr:col>
      <xdr:colOff>381000</xdr:colOff>
      <xdr:row>152</xdr:row>
      <xdr:rowOff>0</xdr:rowOff>
    </xdr:to>
    <xdr:sp>
      <xdr:nvSpPr>
        <xdr:cNvPr id="110" name="Rectangle 111"/>
        <xdr:cNvSpPr>
          <a:spLocks/>
        </xdr:cNvSpPr>
      </xdr:nvSpPr>
      <xdr:spPr>
        <a:xfrm>
          <a:off x="6381750" y="28965525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</a:p>
      </xdr:txBody>
    </xdr:sp>
    <xdr:clientData/>
  </xdr:twoCellAnchor>
  <xdr:twoCellAnchor>
    <xdr:from>
      <xdr:col>8</xdr:col>
      <xdr:colOff>123825</xdr:colOff>
      <xdr:row>152</xdr:row>
      <xdr:rowOff>0</xdr:rowOff>
    </xdr:from>
    <xdr:to>
      <xdr:col>8</xdr:col>
      <xdr:colOff>400050</xdr:colOff>
      <xdr:row>152</xdr:row>
      <xdr:rowOff>0</xdr:rowOff>
    </xdr:to>
    <xdr:sp>
      <xdr:nvSpPr>
        <xdr:cNvPr id="111" name="Rectangle 114"/>
        <xdr:cNvSpPr>
          <a:spLocks/>
        </xdr:cNvSpPr>
      </xdr:nvSpPr>
      <xdr:spPr>
        <a:xfrm>
          <a:off x="6467475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85725</xdr:colOff>
      <xdr:row>152</xdr:row>
      <xdr:rowOff>0</xdr:rowOff>
    </xdr:from>
    <xdr:to>
      <xdr:col>10</xdr:col>
      <xdr:colOff>409575</xdr:colOff>
      <xdr:row>152</xdr:row>
      <xdr:rowOff>0</xdr:rowOff>
    </xdr:to>
    <xdr:sp>
      <xdr:nvSpPr>
        <xdr:cNvPr id="112" name="Rectangle 115"/>
        <xdr:cNvSpPr>
          <a:spLocks/>
        </xdr:cNvSpPr>
      </xdr:nvSpPr>
      <xdr:spPr>
        <a:xfrm>
          <a:off x="7343775" y="28965525"/>
          <a:ext cx="323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152</xdr:row>
      <xdr:rowOff>0</xdr:rowOff>
    </xdr:from>
    <xdr:to>
      <xdr:col>8</xdr:col>
      <xdr:colOff>381000</xdr:colOff>
      <xdr:row>152</xdr:row>
      <xdr:rowOff>0</xdr:rowOff>
    </xdr:to>
    <xdr:sp>
      <xdr:nvSpPr>
        <xdr:cNvPr id="113" name="Rectangle 116"/>
        <xdr:cNvSpPr>
          <a:spLocks/>
        </xdr:cNvSpPr>
      </xdr:nvSpPr>
      <xdr:spPr>
        <a:xfrm>
          <a:off x="6381750" y="28965525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</a:p>
      </xdr:txBody>
    </xdr:sp>
    <xdr:clientData/>
  </xdr:twoCellAnchor>
  <xdr:twoCellAnchor>
    <xdr:from>
      <xdr:col>10</xdr:col>
      <xdr:colOff>38100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114" name="Rectangle 119"/>
        <xdr:cNvSpPr>
          <a:spLocks/>
        </xdr:cNvSpPr>
      </xdr:nvSpPr>
      <xdr:spPr>
        <a:xfrm>
          <a:off x="72961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115" name="Rectangle 120"/>
        <xdr:cNvSpPr>
          <a:spLocks/>
        </xdr:cNvSpPr>
      </xdr:nvSpPr>
      <xdr:spPr>
        <a:xfrm>
          <a:off x="81915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0</xdr:colOff>
      <xdr:row>152</xdr:row>
      <xdr:rowOff>0</xdr:rowOff>
    </xdr:from>
    <xdr:to>
      <xdr:col>14</xdr:col>
      <xdr:colOff>0</xdr:colOff>
      <xdr:row>152</xdr:row>
      <xdr:rowOff>0</xdr:rowOff>
    </xdr:to>
    <xdr:sp>
      <xdr:nvSpPr>
        <xdr:cNvPr id="116" name="Rectangle 121"/>
        <xdr:cNvSpPr>
          <a:spLocks/>
        </xdr:cNvSpPr>
      </xdr:nvSpPr>
      <xdr:spPr>
        <a:xfrm>
          <a:off x="9134475" y="2896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0</xdr:colOff>
      <xdr:row>152</xdr:row>
      <xdr:rowOff>0</xdr:rowOff>
    </xdr:from>
    <xdr:to>
      <xdr:col>14</xdr:col>
      <xdr:colOff>0</xdr:colOff>
      <xdr:row>152</xdr:row>
      <xdr:rowOff>0</xdr:rowOff>
    </xdr:to>
    <xdr:sp>
      <xdr:nvSpPr>
        <xdr:cNvPr id="117" name="Rectangle 122"/>
        <xdr:cNvSpPr>
          <a:spLocks/>
        </xdr:cNvSpPr>
      </xdr:nvSpPr>
      <xdr:spPr>
        <a:xfrm>
          <a:off x="9134475" y="2896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0</xdr:colOff>
      <xdr:row>152</xdr:row>
      <xdr:rowOff>0</xdr:rowOff>
    </xdr:from>
    <xdr:to>
      <xdr:col>14</xdr:col>
      <xdr:colOff>0</xdr:colOff>
      <xdr:row>152</xdr:row>
      <xdr:rowOff>0</xdr:rowOff>
    </xdr:to>
    <xdr:sp>
      <xdr:nvSpPr>
        <xdr:cNvPr id="118" name="Rectangle 123"/>
        <xdr:cNvSpPr>
          <a:spLocks/>
        </xdr:cNvSpPr>
      </xdr:nvSpPr>
      <xdr:spPr>
        <a:xfrm>
          <a:off x="9134475" y="2896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119" name="Rectangle 124"/>
        <xdr:cNvSpPr>
          <a:spLocks/>
        </xdr:cNvSpPr>
      </xdr:nvSpPr>
      <xdr:spPr>
        <a:xfrm>
          <a:off x="72961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120" name="Rectangle 125"/>
        <xdr:cNvSpPr>
          <a:spLocks/>
        </xdr:cNvSpPr>
      </xdr:nvSpPr>
      <xdr:spPr>
        <a:xfrm>
          <a:off x="81915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0</xdr:colOff>
      <xdr:row>152</xdr:row>
      <xdr:rowOff>0</xdr:rowOff>
    </xdr:from>
    <xdr:to>
      <xdr:col>14</xdr:col>
      <xdr:colOff>0</xdr:colOff>
      <xdr:row>152</xdr:row>
      <xdr:rowOff>0</xdr:rowOff>
    </xdr:to>
    <xdr:sp>
      <xdr:nvSpPr>
        <xdr:cNvPr id="121" name="Rectangle 126"/>
        <xdr:cNvSpPr>
          <a:spLocks/>
        </xdr:cNvSpPr>
      </xdr:nvSpPr>
      <xdr:spPr>
        <a:xfrm>
          <a:off x="9134475" y="2896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0</xdr:colOff>
      <xdr:row>152</xdr:row>
      <xdr:rowOff>0</xdr:rowOff>
    </xdr:from>
    <xdr:to>
      <xdr:col>14</xdr:col>
      <xdr:colOff>0</xdr:colOff>
      <xdr:row>152</xdr:row>
      <xdr:rowOff>0</xdr:rowOff>
    </xdr:to>
    <xdr:sp>
      <xdr:nvSpPr>
        <xdr:cNvPr id="122" name="Rectangle 127"/>
        <xdr:cNvSpPr>
          <a:spLocks/>
        </xdr:cNvSpPr>
      </xdr:nvSpPr>
      <xdr:spPr>
        <a:xfrm>
          <a:off x="9134475" y="2896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0</xdr:colOff>
      <xdr:row>152</xdr:row>
      <xdr:rowOff>0</xdr:rowOff>
    </xdr:from>
    <xdr:to>
      <xdr:col>14</xdr:col>
      <xdr:colOff>0</xdr:colOff>
      <xdr:row>152</xdr:row>
      <xdr:rowOff>0</xdr:rowOff>
    </xdr:to>
    <xdr:sp>
      <xdr:nvSpPr>
        <xdr:cNvPr id="123" name="Rectangle 128"/>
        <xdr:cNvSpPr>
          <a:spLocks/>
        </xdr:cNvSpPr>
      </xdr:nvSpPr>
      <xdr:spPr>
        <a:xfrm>
          <a:off x="9134475" y="2896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152</xdr:row>
      <xdr:rowOff>0</xdr:rowOff>
    </xdr:from>
    <xdr:to>
      <xdr:col>8</xdr:col>
      <xdr:colOff>314325</xdr:colOff>
      <xdr:row>152</xdr:row>
      <xdr:rowOff>0</xdr:rowOff>
    </xdr:to>
    <xdr:sp>
      <xdr:nvSpPr>
        <xdr:cNvPr id="124" name="Rectangle 129"/>
        <xdr:cNvSpPr>
          <a:spLocks/>
        </xdr:cNvSpPr>
      </xdr:nvSpPr>
      <xdr:spPr>
        <a:xfrm>
          <a:off x="63817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19050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125" name="Rectangle 130"/>
        <xdr:cNvSpPr>
          <a:spLocks/>
        </xdr:cNvSpPr>
      </xdr:nvSpPr>
      <xdr:spPr>
        <a:xfrm>
          <a:off x="72771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38100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126" name="Rectangle 131"/>
        <xdr:cNvSpPr>
          <a:spLocks/>
        </xdr:cNvSpPr>
      </xdr:nvSpPr>
      <xdr:spPr>
        <a:xfrm>
          <a:off x="82105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0</xdr:colOff>
      <xdr:row>152</xdr:row>
      <xdr:rowOff>0</xdr:rowOff>
    </xdr:from>
    <xdr:to>
      <xdr:col>14</xdr:col>
      <xdr:colOff>0</xdr:colOff>
      <xdr:row>152</xdr:row>
      <xdr:rowOff>0</xdr:rowOff>
    </xdr:to>
    <xdr:sp>
      <xdr:nvSpPr>
        <xdr:cNvPr id="127" name="Rectangle 132"/>
        <xdr:cNvSpPr>
          <a:spLocks/>
        </xdr:cNvSpPr>
      </xdr:nvSpPr>
      <xdr:spPr>
        <a:xfrm>
          <a:off x="9134475" y="2896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0</xdr:colOff>
      <xdr:row>152</xdr:row>
      <xdr:rowOff>0</xdr:rowOff>
    </xdr:from>
    <xdr:to>
      <xdr:col>14</xdr:col>
      <xdr:colOff>0</xdr:colOff>
      <xdr:row>152</xdr:row>
      <xdr:rowOff>0</xdr:rowOff>
    </xdr:to>
    <xdr:sp>
      <xdr:nvSpPr>
        <xdr:cNvPr id="128" name="Rectangle 133"/>
        <xdr:cNvSpPr>
          <a:spLocks/>
        </xdr:cNvSpPr>
      </xdr:nvSpPr>
      <xdr:spPr>
        <a:xfrm>
          <a:off x="9134475" y="2896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152</xdr:row>
      <xdr:rowOff>0</xdr:rowOff>
    </xdr:from>
    <xdr:to>
      <xdr:col>8</xdr:col>
      <xdr:colOff>314325</xdr:colOff>
      <xdr:row>152</xdr:row>
      <xdr:rowOff>0</xdr:rowOff>
    </xdr:to>
    <xdr:sp>
      <xdr:nvSpPr>
        <xdr:cNvPr id="129" name="Rectangle 134"/>
        <xdr:cNvSpPr>
          <a:spLocks/>
        </xdr:cNvSpPr>
      </xdr:nvSpPr>
      <xdr:spPr>
        <a:xfrm>
          <a:off x="63817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19050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130" name="Rectangle 135"/>
        <xdr:cNvSpPr>
          <a:spLocks/>
        </xdr:cNvSpPr>
      </xdr:nvSpPr>
      <xdr:spPr>
        <a:xfrm>
          <a:off x="72771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38100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131" name="Rectangle 136"/>
        <xdr:cNvSpPr>
          <a:spLocks/>
        </xdr:cNvSpPr>
      </xdr:nvSpPr>
      <xdr:spPr>
        <a:xfrm>
          <a:off x="82105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0</xdr:colOff>
      <xdr:row>152</xdr:row>
      <xdr:rowOff>0</xdr:rowOff>
    </xdr:from>
    <xdr:to>
      <xdr:col>14</xdr:col>
      <xdr:colOff>0</xdr:colOff>
      <xdr:row>152</xdr:row>
      <xdr:rowOff>0</xdr:rowOff>
    </xdr:to>
    <xdr:sp>
      <xdr:nvSpPr>
        <xdr:cNvPr id="132" name="Rectangle 137"/>
        <xdr:cNvSpPr>
          <a:spLocks/>
        </xdr:cNvSpPr>
      </xdr:nvSpPr>
      <xdr:spPr>
        <a:xfrm>
          <a:off x="9134475" y="2896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0</xdr:colOff>
      <xdr:row>152</xdr:row>
      <xdr:rowOff>0</xdr:rowOff>
    </xdr:from>
    <xdr:to>
      <xdr:col>14</xdr:col>
      <xdr:colOff>0</xdr:colOff>
      <xdr:row>152</xdr:row>
      <xdr:rowOff>0</xdr:rowOff>
    </xdr:to>
    <xdr:sp>
      <xdr:nvSpPr>
        <xdr:cNvPr id="133" name="Rectangle 138"/>
        <xdr:cNvSpPr>
          <a:spLocks/>
        </xdr:cNvSpPr>
      </xdr:nvSpPr>
      <xdr:spPr>
        <a:xfrm>
          <a:off x="9134475" y="2896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152</xdr:row>
      <xdr:rowOff>0</xdr:rowOff>
    </xdr:from>
    <xdr:to>
      <xdr:col>8</xdr:col>
      <xdr:colOff>314325</xdr:colOff>
      <xdr:row>152</xdr:row>
      <xdr:rowOff>0</xdr:rowOff>
    </xdr:to>
    <xdr:sp>
      <xdr:nvSpPr>
        <xdr:cNvPr id="134" name="Rectangle 139"/>
        <xdr:cNvSpPr>
          <a:spLocks/>
        </xdr:cNvSpPr>
      </xdr:nvSpPr>
      <xdr:spPr>
        <a:xfrm>
          <a:off x="63817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19050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135" name="Rectangle 140"/>
        <xdr:cNvSpPr>
          <a:spLocks/>
        </xdr:cNvSpPr>
      </xdr:nvSpPr>
      <xdr:spPr>
        <a:xfrm>
          <a:off x="72771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136" name="Rectangle 141"/>
        <xdr:cNvSpPr>
          <a:spLocks/>
        </xdr:cNvSpPr>
      </xdr:nvSpPr>
      <xdr:spPr>
        <a:xfrm>
          <a:off x="72961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137" name="Rectangle 142"/>
        <xdr:cNvSpPr>
          <a:spLocks/>
        </xdr:cNvSpPr>
      </xdr:nvSpPr>
      <xdr:spPr>
        <a:xfrm>
          <a:off x="81915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0</xdr:colOff>
      <xdr:row>152</xdr:row>
      <xdr:rowOff>0</xdr:rowOff>
    </xdr:from>
    <xdr:to>
      <xdr:col>14</xdr:col>
      <xdr:colOff>0</xdr:colOff>
      <xdr:row>152</xdr:row>
      <xdr:rowOff>0</xdr:rowOff>
    </xdr:to>
    <xdr:sp>
      <xdr:nvSpPr>
        <xdr:cNvPr id="138" name="Rectangle 143"/>
        <xdr:cNvSpPr>
          <a:spLocks/>
        </xdr:cNvSpPr>
      </xdr:nvSpPr>
      <xdr:spPr>
        <a:xfrm>
          <a:off x="9134475" y="2896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0</xdr:colOff>
      <xdr:row>152</xdr:row>
      <xdr:rowOff>0</xdr:rowOff>
    </xdr:from>
    <xdr:to>
      <xdr:col>14</xdr:col>
      <xdr:colOff>0</xdr:colOff>
      <xdr:row>152</xdr:row>
      <xdr:rowOff>0</xdr:rowOff>
    </xdr:to>
    <xdr:sp>
      <xdr:nvSpPr>
        <xdr:cNvPr id="139" name="Rectangle 144"/>
        <xdr:cNvSpPr>
          <a:spLocks/>
        </xdr:cNvSpPr>
      </xdr:nvSpPr>
      <xdr:spPr>
        <a:xfrm>
          <a:off x="9134475" y="2896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0</xdr:colOff>
      <xdr:row>152</xdr:row>
      <xdr:rowOff>0</xdr:rowOff>
    </xdr:from>
    <xdr:to>
      <xdr:col>14</xdr:col>
      <xdr:colOff>0</xdr:colOff>
      <xdr:row>152</xdr:row>
      <xdr:rowOff>0</xdr:rowOff>
    </xdr:to>
    <xdr:sp>
      <xdr:nvSpPr>
        <xdr:cNvPr id="140" name="Rectangle 145"/>
        <xdr:cNvSpPr>
          <a:spLocks/>
        </xdr:cNvSpPr>
      </xdr:nvSpPr>
      <xdr:spPr>
        <a:xfrm>
          <a:off x="9134475" y="2896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6</xdr:col>
      <xdr:colOff>38100</xdr:colOff>
      <xdr:row>152</xdr:row>
      <xdr:rowOff>0</xdr:rowOff>
    </xdr:from>
    <xdr:to>
      <xdr:col>6</xdr:col>
      <xdr:colOff>314325</xdr:colOff>
      <xdr:row>152</xdr:row>
      <xdr:rowOff>0</xdr:rowOff>
    </xdr:to>
    <xdr:sp>
      <xdr:nvSpPr>
        <xdr:cNvPr id="141" name="Rectangle 146"/>
        <xdr:cNvSpPr>
          <a:spLocks/>
        </xdr:cNvSpPr>
      </xdr:nvSpPr>
      <xdr:spPr>
        <a:xfrm>
          <a:off x="54673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6</xdr:col>
      <xdr:colOff>19050</xdr:colOff>
      <xdr:row>152</xdr:row>
      <xdr:rowOff>0</xdr:rowOff>
    </xdr:from>
    <xdr:to>
      <xdr:col>6</xdr:col>
      <xdr:colOff>314325</xdr:colOff>
      <xdr:row>152</xdr:row>
      <xdr:rowOff>0</xdr:rowOff>
    </xdr:to>
    <xdr:sp>
      <xdr:nvSpPr>
        <xdr:cNvPr id="142" name="Rectangle 147"/>
        <xdr:cNvSpPr>
          <a:spLocks/>
        </xdr:cNvSpPr>
      </xdr:nvSpPr>
      <xdr:spPr>
        <a:xfrm>
          <a:off x="54483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38100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143" name="Rectangle 148"/>
        <xdr:cNvSpPr>
          <a:spLocks/>
        </xdr:cNvSpPr>
      </xdr:nvSpPr>
      <xdr:spPr>
        <a:xfrm>
          <a:off x="82105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0</xdr:colOff>
      <xdr:row>152</xdr:row>
      <xdr:rowOff>0</xdr:rowOff>
    </xdr:from>
    <xdr:to>
      <xdr:col>14</xdr:col>
      <xdr:colOff>0</xdr:colOff>
      <xdr:row>152</xdr:row>
      <xdr:rowOff>0</xdr:rowOff>
    </xdr:to>
    <xdr:sp>
      <xdr:nvSpPr>
        <xdr:cNvPr id="144" name="Rectangle 149"/>
        <xdr:cNvSpPr>
          <a:spLocks/>
        </xdr:cNvSpPr>
      </xdr:nvSpPr>
      <xdr:spPr>
        <a:xfrm>
          <a:off x="9134475" y="2896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0</xdr:colOff>
      <xdr:row>152</xdr:row>
      <xdr:rowOff>0</xdr:rowOff>
    </xdr:from>
    <xdr:to>
      <xdr:col>14</xdr:col>
      <xdr:colOff>0</xdr:colOff>
      <xdr:row>152</xdr:row>
      <xdr:rowOff>0</xdr:rowOff>
    </xdr:to>
    <xdr:sp>
      <xdr:nvSpPr>
        <xdr:cNvPr id="145" name="Rectangle 150"/>
        <xdr:cNvSpPr>
          <a:spLocks/>
        </xdr:cNvSpPr>
      </xdr:nvSpPr>
      <xdr:spPr>
        <a:xfrm>
          <a:off x="9134475" y="2896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19050</xdr:colOff>
      <xdr:row>152</xdr:row>
      <xdr:rowOff>0</xdr:rowOff>
    </xdr:from>
    <xdr:to>
      <xdr:col>8</xdr:col>
      <xdr:colOff>314325</xdr:colOff>
      <xdr:row>152</xdr:row>
      <xdr:rowOff>0</xdr:rowOff>
    </xdr:to>
    <xdr:sp>
      <xdr:nvSpPr>
        <xdr:cNvPr id="146" name="Rectangle 151"/>
        <xdr:cNvSpPr>
          <a:spLocks/>
        </xdr:cNvSpPr>
      </xdr:nvSpPr>
      <xdr:spPr>
        <a:xfrm>
          <a:off x="63627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147" name="Rectangle 152"/>
        <xdr:cNvSpPr>
          <a:spLocks/>
        </xdr:cNvSpPr>
      </xdr:nvSpPr>
      <xdr:spPr>
        <a:xfrm>
          <a:off x="72961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0</xdr:colOff>
      <xdr:row>152</xdr:row>
      <xdr:rowOff>0</xdr:rowOff>
    </xdr:from>
    <xdr:to>
      <xdr:col>14</xdr:col>
      <xdr:colOff>0</xdr:colOff>
      <xdr:row>152</xdr:row>
      <xdr:rowOff>0</xdr:rowOff>
    </xdr:to>
    <xdr:sp>
      <xdr:nvSpPr>
        <xdr:cNvPr id="148" name="Rectangle 153"/>
        <xdr:cNvSpPr>
          <a:spLocks/>
        </xdr:cNvSpPr>
      </xdr:nvSpPr>
      <xdr:spPr>
        <a:xfrm>
          <a:off x="9134475" y="2896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149" name="Rectangle 154"/>
        <xdr:cNvSpPr>
          <a:spLocks/>
        </xdr:cNvSpPr>
      </xdr:nvSpPr>
      <xdr:spPr>
        <a:xfrm>
          <a:off x="72961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150" name="Rectangle 155"/>
        <xdr:cNvSpPr>
          <a:spLocks/>
        </xdr:cNvSpPr>
      </xdr:nvSpPr>
      <xdr:spPr>
        <a:xfrm>
          <a:off x="81915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0</xdr:colOff>
      <xdr:row>152</xdr:row>
      <xdr:rowOff>0</xdr:rowOff>
    </xdr:from>
    <xdr:to>
      <xdr:col>14</xdr:col>
      <xdr:colOff>0</xdr:colOff>
      <xdr:row>152</xdr:row>
      <xdr:rowOff>0</xdr:rowOff>
    </xdr:to>
    <xdr:sp>
      <xdr:nvSpPr>
        <xdr:cNvPr id="151" name="Rectangle 156"/>
        <xdr:cNvSpPr>
          <a:spLocks/>
        </xdr:cNvSpPr>
      </xdr:nvSpPr>
      <xdr:spPr>
        <a:xfrm>
          <a:off x="9134475" y="2896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0</xdr:colOff>
      <xdr:row>152</xdr:row>
      <xdr:rowOff>0</xdr:rowOff>
    </xdr:from>
    <xdr:to>
      <xdr:col>14</xdr:col>
      <xdr:colOff>0</xdr:colOff>
      <xdr:row>152</xdr:row>
      <xdr:rowOff>0</xdr:rowOff>
    </xdr:to>
    <xdr:sp>
      <xdr:nvSpPr>
        <xdr:cNvPr id="152" name="Rectangle 157"/>
        <xdr:cNvSpPr>
          <a:spLocks/>
        </xdr:cNvSpPr>
      </xdr:nvSpPr>
      <xdr:spPr>
        <a:xfrm>
          <a:off x="9134475" y="2896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0</xdr:colOff>
      <xdr:row>152</xdr:row>
      <xdr:rowOff>0</xdr:rowOff>
    </xdr:from>
    <xdr:to>
      <xdr:col>14</xdr:col>
      <xdr:colOff>0</xdr:colOff>
      <xdr:row>152</xdr:row>
      <xdr:rowOff>0</xdr:rowOff>
    </xdr:to>
    <xdr:sp>
      <xdr:nvSpPr>
        <xdr:cNvPr id="153" name="Rectangle 158"/>
        <xdr:cNvSpPr>
          <a:spLocks/>
        </xdr:cNvSpPr>
      </xdr:nvSpPr>
      <xdr:spPr>
        <a:xfrm>
          <a:off x="9134475" y="2896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152</xdr:row>
      <xdr:rowOff>0</xdr:rowOff>
    </xdr:from>
    <xdr:to>
      <xdr:col>8</xdr:col>
      <xdr:colOff>314325</xdr:colOff>
      <xdr:row>152</xdr:row>
      <xdr:rowOff>0</xdr:rowOff>
    </xdr:to>
    <xdr:sp>
      <xdr:nvSpPr>
        <xdr:cNvPr id="154" name="Rectangle 159"/>
        <xdr:cNvSpPr>
          <a:spLocks/>
        </xdr:cNvSpPr>
      </xdr:nvSpPr>
      <xdr:spPr>
        <a:xfrm>
          <a:off x="63817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19050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155" name="Rectangle 160"/>
        <xdr:cNvSpPr>
          <a:spLocks/>
        </xdr:cNvSpPr>
      </xdr:nvSpPr>
      <xdr:spPr>
        <a:xfrm>
          <a:off x="72771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38100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156" name="Rectangle 161"/>
        <xdr:cNvSpPr>
          <a:spLocks/>
        </xdr:cNvSpPr>
      </xdr:nvSpPr>
      <xdr:spPr>
        <a:xfrm>
          <a:off x="82105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0</xdr:colOff>
      <xdr:row>152</xdr:row>
      <xdr:rowOff>0</xdr:rowOff>
    </xdr:from>
    <xdr:to>
      <xdr:col>14</xdr:col>
      <xdr:colOff>0</xdr:colOff>
      <xdr:row>152</xdr:row>
      <xdr:rowOff>0</xdr:rowOff>
    </xdr:to>
    <xdr:sp>
      <xdr:nvSpPr>
        <xdr:cNvPr id="157" name="Rectangle 162"/>
        <xdr:cNvSpPr>
          <a:spLocks/>
        </xdr:cNvSpPr>
      </xdr:nvSpPr>
      <xdr:spPr>
        <a:xfrm>
          <a:off x="9134475" y="2896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0</xdr:colOff>
      <xdr:row>152</xdr:row>
      <xdr:rowOff>0</xdr:rowOff>
    </xdr:from>
    <xdr:to>
      <xdr:col>14</xdr:col>
      <xdr:colOff>0</xdr:colOff>
      <xdr:row>152</xdr:row>
      <xdr:rowOff>0</xdr:rowOff>
    </xdr:to>
    <xdr:sp>
      <xdr:nvSpPr>
        <xdr:cNvPr id="158" name="Rectangle 163"/>
        <xdr:cNvSpPr>
          <a:spLocks/>
        </xdr:cNvSpPr>
      </xdr:nvSpPr>
      <xdr:spPr>
        <a:xfrm>
          <a:off x="9134475" y="2896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152</xdr:row>
      <xdr:rowOff>0</xdr:rowOff>
    </xdr:from>
    <xdr:to>
      <xdr:col>8</xdr:col>
      <xdr:colOff>314325</xdr:colOff>
      <xdr:row>152</xdr:row>
      <xdr:rowOff>0</xdr:rowOff>
    </xdr:to>
    <xdr:sp>
      <xdr:nvSpPr>
        <xdr:cNvPr id="159" name="Rectangle 164"/>
        <xdr:cNvSpPr>
          <a:spLocks/>
        </xdr:cNvSpPr>
      </xdr:nvSpPr>
      <xdr:spPr>
        <a:xfrm>
          <a:off x="63817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19050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160" name="Rectangle 165"/>
        <xdr:cNvSpPr>
          <a:spLocks/>
        </xdr:cNvSpPr>
      </xdr:nvSpPr>
      <xdr:spPr>
        <a:xfrm>
          <a:off x="72771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38100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161" name="Rectangle 166"/>
        <xdr:cNvSpPr>
          <a:spLocks/>
        </xdr:cNvSpPr>
      </xdr:nvSpPr>
      <xdr:spPr>
        <a:xfrm>
          <a:off x="82105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0</xdr:colOff>
      <xdr:row>152</xdr:row>
      <xdr:rowOff>0</xdr:rowOff>
    </xdr:from>
    <xdr:to>
      <xdr:col>14</xdr:col>
      <xdr:colOff>0</xdr:colOff>
      <xdr:row>152</xdr:row>
      <xdr:rowOff>0</xdr:rowOff>
    </xdr:to>
    <xdr:sp>
      <xdr:nvSpPr>
        <xdr:cNvPr id="162" name="Rectangle 167"/>
        <xdr:cNvSpPr>
          <a:spLocks/>
        </xdr:cNvSpPr>
      </xdr:nvSpPr>
      <xdr:spPr>
        <a:xfrm>
          <a:off x="9134475" y="2896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0</xdr:colOff>
      <xdr:row>152</xdr:row>
      <xdr:rowOff>0</xdr:rowOff>
    </xdr:from>
    <xdr:to>
      <xdr:col>14</xdr:col>
      <xdr:colOff>0</xdr:colOff>
      <xdr:row>152</xdr:row>
      <xdr:rowOff>0</xdr:rowOff>
    </xdr:to>
    <xdr:sp>
      <xdr:nvSpPr>
        <xdr:cNvPr id="163" name="Rectangle 168"/>
        <xdr:cNvSpPr>
          <a:spLocks/>
        </xdr:cNvSpPr>
      </xdr:nvSpPr>
      <xdr:spPr>
        <a:xfrm>
          <a:off x="9134475" y="2896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164" name="Rectangle 169"/>
        <xdr:cNvSpPr>
          <a:spLocks/>
        </xdr:cNvSpPr>
      </xdr:nvSpPr>
      <xdr:spPr>
        <a:xfrm>
          <a:off x="72961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165" name="Rectangle 170"/>
        <xdr:cNvSpPr>
          <a:spLocks/>
        </xdr:cNvSpPr>
      </xdr:nvSpPr>
      <xdr:spPr>
        <a:xfrm>
          <a:off x="81915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0</xdr:colOff>
      <xdr:row>152</xdr:row>
      <xdr:rowOff>0</xdr:rowOff>
    </xdr:from>
    <xdr:to>
      <xdr:col>14</xdr:col>
      <xdr:colOff>0</xdr:colOff>
      <xdr:row>152</xdr:row>
      <xdr:rowOff>0</xdr:rowOff>
    </xdr:to>
    <xdr:sp>
      <xdr:nvSpPr>
        <xdr:cNvPr id="166" name="Rectangle 171"/>
        <xdr:cNvSpPr>
          <a:spLocks/>
        </xdr:cNvSpPr>
      </xdr:nvSpPr>
      <xdr:spPr>
        <a:xfrm>
          <a:off x="9134475" y="2896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0</xdr:colOff>
      <xdr:row>152</xdr:row>
      <xdr:rowOff>0</xdr:rowOff>
    </xdr:from>
    <xdr:to>
      <xdr:col>14</xdr:col>
      <xdr:colOff>0</xdr:colOff>
      <xdr:row>152</xdr:row>
      <xdr:rowOff>0</xdr:rowOff>
    </xdr:to>
    <xdr:sp>
      <xdr:nvSpPr>
        <xdr:cNvPr id="167" name="Rectangle 172"/>
        <xdr:cNvSpPr>
          <a:spLocks/>
        </xdr:cNvSpPr>
      </xdr:nvSpPr>
      <xdr:spPr>
        <a:xfrm>
          <a:off x="9134475" y="2896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0</xdr:colOff>
      <xdr:row>152</xdr:row>
      <xdr:rowOff>0</xdr:rowOff>
    </xdr:from>
    <xdr:to>
      <xdr:col>14</xdr:col>
      <xdr:colOff>0</xdr:colOff>
      <xdr:row>152</xdr:row>
      <xdr:rowOff>0</xdr:rowOff>
    </xdr:to>
    <xdr:sp>
      <xdr:nvSpPr>
        <xdr:cNvPr id="168" name="Rectangle 173"/>
        <xdr:cNvSpPr>
          <a:spLocks/>
        </xdr:cNvSpPr>
      </xdr:nvSpPr>
      <xdr:spPr>
        <a:xfrm>
          <a:off x="9134475" y="2896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169" name="Rectangle 174"/>
        <xdr:cNvSpPr>
          <a:spLocks/>
        </xdr:cNvSpPr>
      </xdr:nvSpPr>
      <xdr:spPr>
        <a:xfrm>
          <a:off x="72961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170" name="Rectangle 175"/>
        <xdr:cNvSpPr>
          <a:spLocks/>
        </xdr:cNvSpPr>
      </xdr:nvSpPr>
      <xdr:spPr>
        <a:xfrm>
          <a:off x="81915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0</xdr:colOff>
      <xdr:row>152</xdr:row>
      <xdr:rowOff>0</xdr:rowOff>
    </xdr:from>
    <xdr:to>
      <xdr:col>14</xdr:col>
      <xdr:colOff>0</xdr:colOff>
      <xdr:row>152</xdr:row>
      <xdr:rowOff>0</xdr:rowOff>
    </xdr:to>
    <xdr:sp>
      <xdr:nvSpPr>
        <xdr:cNvPr id="171" name="Rectangle 176"/>
        <xdr:cNvSpPr>
          <a:spLocks/>
        </xdr:cNvSpPr>
      </xdr:nvSpPr>
      <xdr:spPr>
        <a:xfrm>
          <a:off x="9134475" y="2896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0</xdr:colOff>
      <xdr:row>152</xdr:row>
      <xdr:rowOff>0</xdr:rowOff>
    </xdr:from>
    <xdr:to>
      <xdr:col>14</xdr:col>
      <xdr:colOff>0</xdr:colOff>
      <xdr:row>152</xdr:row>
      <xdr:rowOff>0</xdr:rowOff>
    </xdr:to>
    <xdr:sp>
      <xdr:nvSpPr>
        <xdr:cNvPr id="172" name="Rectangle 177"/>
        <xdr:cNvSpPr>
          <a:spLocks/>
        </xdr:cNvSpPr>
      </xdr:nvSpPr>
      <xdr:spPr>
        <a:xfrm>
          <a:off x="9134475" y="2896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0</xdr:colOff>
      <xdr:row>152</xdr:row>
      <xdr:rowOff>0</xdr:rowOff>
    </xdr:from>
    <xdr:to>
      <xdr:col>14</xdr:col>
      <xdr:colOff>0</xdr:colOff>
      <xdr:row>152</xdr:row>
      <xdr:rowOff>0</xdr:rowOff>
    </xdr:to>
    <xdr:sp>
      <xdr:nvSpPr>
        <xdr:cNvPr id="173" name="Rectangle 178"/>
        <xdr:cNvSpPr>
          <a:spLocks/>
        </xdr:cNvSpPr>
      </xdr:nvSpPr>
      <xdr:spPr>
        <a:xfrm>
          <a:off x="9134475" y="2896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174" name="Rectangle 179"/>
        <xdr:cNvSpPr>
          <a:spLocks/>
        </xdr:cNvSpPr>
      </xdr:nvSpPr>
      <xdr:spPr>
        <a:xfrm>
          <a:off x="72961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175" name="Rectangle 180"/>
        <xdr:cNvSpPr>
          <a:spLocks/>
        </xdr:cNvSpPr>
      </xdr:nvSpPr>
      <xdr:spPr>
        <a:xfrm>
          <a:off x="81915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0</xdr:colOff>
      <xdr:row>152</xdr:row>
      <xdr:rowOff>0</xdr:rowOff>
    </xdr:from>
    <xdr:to>
      <xdr:col>14</xdr:col>
      <xdr:colOff>0</xdr:colOff>
      <xdr:row>152</xdr:row>
      <xdr:rowOff>0</xdr:rowOff>
    </xdr:to>
    <xdr:sp>
      <xdr:nvSpPr>
        <xdr:cNvPr id="176" name="Rectangle 181"/>
        <xdr:cNvSpPr>
          <a:spLocks/>
        </xdr:cNvSpPr>
      </xdr:nvSpPr>
      <xdr:spPr>
        <a:xfrm>
          <a:off x="9134475" y="2896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0</xdr:colOff>
      <xdr:row>152</xdr:row>
      <xdr:rowOff>0</xdr:rowOff>
    </xdr:from>
    <xdr:to>
      <xdr:col>14</xdr:col>
      <xdr:colOff>0</xdr:colOff>
      <xdr:row>152</xdr:row>
      <xdr:rowOff>0</xdr:rowOff>
    </xdr:to>
    <xdr:sp>
      <xdr:nvSpPr>
        <xdr:cNvPr id="177" name="Rectangle 182"/>
        <xdr:cNvSpPr>
          <a:spLocks/>
        </xdr:cNvSpPr>
      </xdr:nvSpPr>
      <xdr:spPr>
        <a:xfrm>
          <a:off x="9134475" y="2896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0</xdr:colOff>
      <xdr:row>152</xdr:row>
      <xdr:rowOff>0</xdr:rowOff>
    </xdr:from>
    <xdr:to>
      <xdr:col>14</xdr:col>
      <xdr:colOff>0</xdr:colOff>
      <xdr:row>152</xdr:row>
      <xdr:rowOff>0</xdr:rowOff>
    </xdr:to>
    <xdr:sp>
      <xdr:nvSpPr>
        <xdr:cNvPr id="178" name="Rectangle 183"/>
        <xdr:cNvSpPr>
          <a:spLocks/>
        </xdr:cNvSpPr>
      </xdr:nvSpPr>
      <xdr:spPr>
        <a:xfrm>
          <a:off x="9134475" y="2896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123825</xdr:colOff>
      <xdr:row>152</xdr:row>
      <xdr:rowOff>0</xdr:rowOff>
    </xdr:from>
    <xdr:to>
      <xdr:col>8</xdr:col>
      <xdr:colOff>400050</xdr:colOff>
      <xdr:row>152</xdr:row>
      <xdr:rowOff>0</xdr:rowOff>
    </xdr:to>
    <xdr:sp>
      <xdr:nvSpPr>
        <xdr:cNvPr id="179" name="Rectangle 184"/>
        <xdr:cNvSpPr>
          <a:spLocks/>
        </xdr:cNvSpPr>
      </xdr:nvSpPr>
      <xdr:spPr>
        <a:xfrm>
          <a:off x="6467475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85725</xdr:colOff>
      <xdr:row>152</xdr:row>
      <xdr:rowOff>0</xdr:rowOff>
    </xdr:from>
    <xdr:to>
      <xdr:col>10</xdr:col>
      <xdr:colOff>409575</xdr:colOff>
      <xdr:row>152</xdr:row>
      <xdr:rowOff>0</xdr:rowOff>
    </xdr:to>
    <xdr:sp>
      <xdr:nvSpPr>
        <xdr:cNvPr id="180" name="Rectangle 185"/>
        <xdr:cNvSpPr>
          <a:spLocks/>
        </xdr:cNvSpPr>
      </xdr:nvSpPr>
      <xdr:spPr>
        <a:xfrm>
          <a:off x="7343775" y="28965525"/>
          <a:ext cx="323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152</xdr:row>
      <xdr:rowOff>0</xdr:rowOff>
    </xdr:from>
    <xdr:to>
      <xdr:col>8</xdr:col>
      <xdr:colOff>381000</xdr:colOff>
      <xdr:row>152</xdr:row>
      <xdr:rowOff>0</xdr:rowOff>
    </xdr:to>
    <xdr:sp>
      <xdr:nvSpPr>
        <xdr:cNvPr id="181" name="Rectangle 186"/>
        <xdr:cNvSpPr>
          <a:spLocks/>
        </xdr:cNvSpPr>
      </xdr:nvSpPr>
      <xdr:spPr>
        <a:xfrm>
          <a:off x="6381750" y="28965525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</a:p>
      </xdr:txBody>
    </xdr:sp>
    <xdr:clientData/>
  </xdr:twoCellAnchor>
  <xdr:twoCellAnchor>
    <xdr:from>
      <xdr:col>8</xdr:col>
      <xdr:colOff>123825</xdr:colOff>
      <xdr:row>152</xdr:row>
      <xdr:rowOff>0</xdr:rowOff>
    </xdr:from>
    <xdr:to>
      <xdr:col>8</xdr:col>
      <xdr:colOff>400050</xdr:colOff>
      <xdr:row>152</xdr:row>
      <xdr:rowOff>0</xdr:rowOff>
    </xdr:to>
    <xdr:sp>
      <xdr:nvSpPr>
        <xdr:cNvPr id="182" name="Rectangle 187"/>
        <xdr:cNvSpPr>
          <a:spLocks/>
        </xdr:cNvSpPr>
      </xdr:nvSpPr>
      <xdr:spPr>
        <a:xfrm>
          <a:off x="6467475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152</xdr:row>
      <xdr:rowOff>0</xdr:rowOff>
    </xdr:from>
    <xdr:to>
      <xdr:col>8</xdr:col>
      <xdr:colOff>381000</xdr:colOff>
      <xdr:row>152</xdr:row>
      <xdr:rowOff>0</xdr:rowOff>
    </xdr:to>
    <xdr:sp>
      <xdr:nvSpPr>
        <xdr:cNvPr id="183" name="Rectangle 188"/>
        <xdr:cNvSpPr>
          <a:spLocks/>
        </xdr:cNvSpPr>
      </xdr:nvSpPr>
      <xdr:spPr>
        <a:xfrm>
          <a:off x="6381750" y="28965525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</a:p>
      </xdr:txBody>
    </xdr:sp>
    <xdr:clientData/>
  </xdr:twoCellAnchor>
  <xdr:twoCellAnchor>
    <xdr:from>
      <xdr:col>8</xdr:col>
      <xdr:colOff>123825</xdr:colOff>
      <xdr:row>152</xdr:row>
      <xdr:rowOff>0</xdr:rowOff>
    </xdr:from>
    <xdr:to>
      <xdr:col>8</xdr:col>
      <xdr:colOff>400050</xdr:colOff>
      <xdr:row>152</xdr:row>
      <xdr:rowOff>0</xdr:rowOff>
    </xdr:to>
    <xdr:sp>
      <xdr:nvSpPr>
        <xdr:cNvPr id="184" name="Rectangle 189"/>
        <xdr:cNvSpPr>
          <a:spLocks/>
        </xdr:cNvSpPr>
      </xdr:nvSpPr>
      <xdr:spPr>
        <a:xfrm>
          <a:off x="6467475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152</xdr:row>
      <xdr:rowOff>0</xdr:rowOff>
    </xdr:from>
    <xdr:to>
      <xdr:col>8</xdr:col>
      <xdr:colOff>381000</xdr:colOff>
      <xdr:row>152</xdr:row>
      <xdr:rowOff>0</xdr:rowOff>
    </xdr:to>
    <xdr:sp>
      <xdr:nvSpPr>
        <xdr:cNvPr id="185" name="Rectangle 190"/>
        <xdr:cNvSpPr>
          <a:spLocks/>
        </xdr:cNvSpPr>
      </xdr:nvSpPr>
      <xdr:spPr>
        <a:xfrm>
          <a:off x="6381750" y="28965525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</a:p>
      </xdr:txBody>
    </xdr:sp>
    <xdr:clientData/>
  </xdr:twoCellAnchor>
  <xdr:twoCellAnchor>
    <xdr:from>
      <xdr:col>8</xdr:col>
      <xdr:colOff>123825</xdr:colOff>
      <xdr:row>152</xdr:row>
      <xdr:rowOff>0</xdr:rowOff>
    </xdr:from>
    <xdr:to>
      <xdr:col>8</xdr:col>
      <xdr:colOff>400050</xdr:colOff>
      <xdr:row>152</xdr:row>
      <xdr:rowOff>0</xdr:rowOff>
    </xdr:to>
    <xdr:sp>
      <xdr:nvSpPr>
        <xdr:cNvPr id="186" name="Rectangle 191"/>
        <xdr:cNvSpPr>
          <a:spLocks/>
        </xdr:cNvSpPr>
      </xdr:nvSpPr>
      <xdr:spPr>
        <a:xfrm>
          <a:off x="6467475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85725</xdr:colOff>
      <xdr:row>152</xdr:row>
      <xdr:rowOff>0</xdr:rowOff>
    </xdr:from>
    <xdr:to>
      <xdr:col>10</xdr:col>
      <xdr:colOff>409575</xdr:colOff>
      <xdr:row>152</xdr:row>
      <xdr:rowOff>0</xdr:rowOff>
    </xdr:to>
    <xdr:sp>
      <xdr:nvSpPr>
        <xdr:cNvPr id="187" name="Rectangle 192"/>
        <xdr:cNvSpPr>
          <a:spLocks/>
        </xdr:cNvSpPr>
      </xdr:nvSpPr>
      <xdr:spPr>
        <a:xfrm>
          <a:off x="7343775" y="28965525"/>
          <a:ext cx="323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152</xdr:row>
      <xdr:rowOff>0</xdr:rowOff>
    </xdr:from>
    <xdr:to>
      <xdr:col>8</xdr:col>
      <xdr:colOff>381000</xdr:colOff>
      <xdr:row>152</xdr:row>
      <xdr:rowOff>0</xdr:rowOff>
    </xdr:to>
    <xdr:sp>
      <xdr:nvSpPr>
        <xdr:cNvPr id="188" name="Rectangle 193"/>
        <xdr:cNvSpPr>
          <a:spLocks/>
        </xdr:cNvSpPr>
      </xdr:nvSpPr>
      <xdr:spPr>
        <a:xfrm>
          <a:off x="6381750" y="28965525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</a:p>
      </xdr:txBody>
    </xdr:sp>
    <xdr:clientData/>
  </xdr:twoCellAnchor>
  <xdr:twoCellAnchor>
    <xdr:from>
      <xdr:col>12</xdr:col>
      <xdr:colOff>85725</xdr:colOff>
      <xdr:row>49</xdr:row>
      <xdr:rowOff>9525</xdr:rowOff>
    </xdr:from>
    <xdr:to>
      <xdr:col>12</xdr:col>
      <xdr:colOff>381000</xdr:colOff>
      <xdr:row>50</xdr:row>
      <xdr:rowOff>28575</xdr:rowOff>
    </xdr:to>
    <xdr:sp>
      <xdr:nvSpPr>
        <xdr:cNvPr id="189" name="Rectangle 195"/>
        <xdr:cNvSpPr>
          <a:spLocks/>
        </xdr:cNvSpPr>
      </xdr:nvSpPr>
      <xdr:spPr>
        <a:xfrm>
          <a:off x="8258175" y="10382250"/>
          <a:ext cx="2952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104775</xdr:colOff>
      <xdr:row>49</xdr:row>
      <xdr:rowOff>9525</xdr:rowOff>
    </xdr:from>
    <xdr:to>
      <xdr:col>8</xdr:col>
      <xdr:colOff>419100</xdr:colOff>
      <xdr:row>49</xdr:row>
      <xdr:rowOff>200025</xdr:rowOff>
    </xdr:to>
    <xdr:sp>
      <xdr:nvSpPr>
        <xdr:cNvPr id="190" name="Rectangle 196"/>
        <xdr:cNvSpPr>
          <a:spLocks/>
        </xdr:cNvSpPr>
      </xdr:nvSpPr>
      <xdr:spPr>
        <a:xfrm>
          <a:off x="6448425" y="10382250"/>
          <a:ext cx="3143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123825</xdr:colOff>
      <xdr:row>49</xdr:row>
      <xdr:rowOff>9525</xdr:rowOff>
    </xdr:from>
    <xdr:to>
      <xdr:col>10</xdr:col>
      <xdr:colOff>419100</xdr:colOff>
      <xdr:row>50</xdr:row>
      <xdr:rowOff>0</xdr:rowOff>
    </xdr:to>
    <xdr:sp>
      <xdr:nvSpPr>
        <xdr:cNvPr id="191" name="Rectangle 197"/>
        <xdr:cNvSpPr>
          <a:spLocks/>
        </xdr:cNvSpPr>
      </xdr:nvSpPr>
      <xdr:spPr>
        <a:xfrm>
          <a:off x="7381875" y="10382250"/>
          <a:ext cx="295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6</xdr:col>
      <xdr:colOff>104775</xdr:colOff>
      <xdr:row>49</xdr:row>
      <xdr:rowOff>9525</xdr:rowOff>
    </xdr:from>
    <xdr:to>
      <xdr:col>6</xdr:col>
      <xdr:colOff>419100</xdr:colOff>
      <xdr:row>49</xdr:row>
      <xdr:rowOff>200025</xdr:rowOff>
    </xdr:to>
    <xdr:sp>
      <xdr:nvSpPr>
        <xdr:cNvPr id="192" name="Rectangle 217"/>
        <xdr:cNvSpPr>
          <a:spLocks/>
        </xdr:cNvSpPr>
      </xdr:nvSpPr>
      <xdr:spPr>
        <a:xfrm>
          <a:off x="5534025" y="10382250"/>
          <a:ext cx="3143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6</xdr:col>
      <xdr:colOff>104775</xdr:colOff>
      <xdr:row>49</xdr:row>
      <xdr:rowOff>9525</xdr:rowOff>
    </xdr:from>
    <xdr:to>
      <xdr:col>6</xdr:col>
      <xdr:colOff>419100</xdr:colOff>
      <xdr:row>49</xdr:row>
      <xdr:rowOff>200025</xdr:rowOff>
    </xdr:to>
    <xdr:sp>
      <xdr:nvSpPr>
        <xdr:cNvPr id="193" name="Rectangle 218"/>
        <xdr:cNvSpPr>
          <a:spLocks/>
        </xdr:cNvSpPr>
      </xdr:nvSpPr>
      <xdr:spPr>
        <a:xfrm>
          <a:off x="5534025" y="10382250"/>
          <a:ext cx="3143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4</xdr:col>
      <xdr:colOff>104775</xdr:colOff>
      <xdr:row>49</xdr:row>
      <xdr:rowOff>9525</xdr:rowOff>
    </xdr:from>
    <xdr:to>
      <xdr:col>4</xdr:col>
      <xdr:colOff>419100</xdr:colOff>
      <xdr:row>49</xdr:row>
      <xdr:rowOff>200025</xdr:rowOff>
    </xdr:to>
    <xdr:sp>
      <xdr:nvSpPr>
        <xdr:cNvPr id="194" name="Rectangle 219"/>
        <xdr:cNvSpPr>
          <a:spLocks/>
        </xdr:cNvSpPr>
      </xdr:nvSpPr>
      <xdr:spPr>
        <a:xfrm>
          <a:off x="4619625" y="10382250"/>
          <a:ext cx="3143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4</xdr:col>
      <xdr:colOff>104775</xdr:colOff>
      <xdr:row>49</xdr:row>
      <xdr:rowOff>9525</xdr:rowOff>
    </xdr:from>
    <xdr:to>
      <xdr:col>4</xdr:col>
      <xdr:colOff>419100</xdr:colOff>
      <xdr:row>49</xdr:row>
      <xdr:rowOff>200025</xdr:rowOff>
    </xdr:to>
    <xdr:sp>
      <xdr:nvSpPr>
        <xdr:cNvPr id="195" name="Rectangle 220"/>
        <xdr:cNvSpPr>
          <a:spLocks/>
        </xdr:cNvSpPr>
      </xdr:nvSpPr>
      <xdr:spPr>
        <a:xfrm>
          <a:off x="4619625" y="10382250"/>
          <a:ext cx="3143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0</xdr:colOff>
      <xdr:row>49</xdr:row>
      <xdr:rowOff>9525</xdr:rowOff>
    </xdr:from>
    <xdr:to>
      <xdr:col>14</xdr:col>
      <xdr:colOff>0</xdr:colOff>
      <xdr:row>50</xdr:row>
      <xdr:rowOff>28575</xdr:rowOff>
    </xdr:to>
    <xdr:sp>
      <xdr:nvSpPr>
        <xdr:cNvPr id="196" name="Rectangle 223"/>
        <xdr:cNvSpPr>
          <a:spLocks/>
        </xdr:cNvSpPr>
      </xdr:nvSpPr>
      <xdr:spPr>
        <a:xfrm>
          <a:off x="9134475" y="10382250"/>
          <a:ext cx="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0</xdr:colOff>
      <xdr:row>49</xdr:row>
      <xdr:rowOff>9525</xdr:rowOff>
    </xdr:from>
    <xdr:to>
      <xdr:col>14</xdr:col>
      <xdr:colOff>0</xdr:colOff>
      <xdr:row>50</xdr:row>
      <xdr:rowOff>28575</xdr:rowOff>
    </xdr:to>
    <xdr:sp>
      <xdr:nvSpPr>
        <xdr:cNvPr id="197" name="Rectangle 224"/>
        <xdr:cNvSpPr>
          <a:spLocks/>
        </xdr:cNvSpPr>
      </xdr:nvSpPr>
      <xdr:spPr>
        <a:xfrm>
          <a:off x="9134475" y="10382250"/>
          <a:ext cx="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152</xdr:row>
      <xdr:rowOff>0</xdr:rowOff>
    </xdr:from>
    <xdr:to>
      <xdr:col>8</xdr:col>
      <xdr:colOff>314325</xdr:colOff>
      <xdr:row>152</xdr:row>
      <xdr:rowOff>0</xdr:rowOff>
    </xdr:to>
    <xdr:sp>
      <xdr:nvSpPr>
        <xdr:cNvPr id="198" name="Rectangle 225"/>
        <xdr:cNvSpPr>
          <a:spLocks/>
        </xdr:cNvSpPr>
      </xdr:nvSpPr>
      <xdr:spPr>
        <a:xfrm>
          <a:off x="63817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19050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199" name="Rectangle 226"/>
        <xdr:cNvSpPr>
          <a:spLocks/>
        </xdr:cNvSpPr>
      </xdr:nvSpPr>
      <xdr:spPr>
        <a:xfrm>
          <a:off x="72771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200" name="Rectangle 227"/>
        <xdr:cNvSpPr>
          <a:spLocks/>
        </xdr:cNvSpPr>
      </xdr:nvSpPr>
      <xdr:spPr>
        <a:xfrm>
          <a:off x="72961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152</xdr:row>
      <xdr:rowOff>0</xdr:rowOff>
    </xdr:from>
    <xdr:to>
      <xdr:col>8</xdr:col>
      <xdr:colOff>314325</xdr:colOff>
      <xdr:row>152</xdr:row>
      <xdr:rowOff>0</xdr:rowOff>
    </xdr:to>
    <xdr:sp>
      <xdr:nvSpPr>
        <xdr:cNvPr id="201" name="Rectangle 228"/>
        <xdr:cNvSpPr>
          <a:spLocks/>
        </xdr:cNvSpPr>
      </xdr:nvSpPr>
      <xdr:spPr>
        <a:xfrm>
          <a:off x="63817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19050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202" name="Rectangle 229"/>
        <xdr:cNvSpPr>
          <a:spLocks/>
        </xdr:cNvSpPr>
      </xdr:nvSpPr>
      <xdr:spPr>
        <a:xfrm>
          <a:off x="72771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38100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203" name="Rectangle 230"/>
        <xdr:cNvSpPr>
          <a:spLocks/>
        </xdr:cNvSpPr>
      </xdr:nvSpPr>
      <xdr:spPr>
        <a:xfrm>
          <a:off x="82105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204" name="Rectangle 231"/>
        <xdr:cNvSpPr>
          <a:spLocks/>
        </xdr:cNvSpPr>
      </xdr:nvSpPr>
      <xdr:spPr>
        <a:xfrm>
          <a:off x="72961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205" name="Rectangle 232"/>
        <xdr:cNvSpPr>
          <a:spLocks/>
        </xdr:cNvSpPr>
      </xdr:nvSpPr>
      <xdr:spPr>
        <a:xfrm>
          <a:off x="81915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206" name="Rectangle 233"/>
        <xdr:cNvSpPr>
          <a:spLocks/>
        </xdr:cNvSpPr>
      </xdr:nvSpPr>
      <xdr:spPr>
        <a:xfrm>
          <a:off x="72961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207" name="Rectangle 234"/>
        <xdr:cNvSpPr>
          <a:spLocks/>
        </xdr:cNvSpPr>
      </xdr:nvSpPr>
      <xdr:spPr>
        <a:xfrm>
          <a:off x="81915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208" name="Rectangle 235"/>
        <xdr:cNvSpPr>
          <a:spLocks/>
        </xdr:cNvSpPr>
      </xdr:nvSpPr>
      <xdr:spPr>
        <a:xfrm>
          <a:off x="72961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209" name="Rectangle 236"/>
        <xdr:cNvSpPr>
          <a:spLocks/>
        </xdr:cNvSpPr>
      </xdr:nvSpPr>
      <xdr:spPr>
        <a:xfrm>
          <a:off x="81915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152</xdr:row>
      <xdr:rowOff>0</xdr:rowOff>
    </xdr:from>
    <xdr:to>
      <xdr:col>8</xdr:col>
      <xdr:colOff>314325</xdr:colOff>
      <xdr:row>152</xdr:row>
      <xdr:rowOff>0</xdr:rowOff>
    </xdr:to>
    <xdr:sp>
      <xdr:nvSpPr>
        <xdr:cNvPr id="210" name="Rectangle 237"/>
        <xdr:cNvSpPr>
          <a:spLocks/>
        </xdr:cNvSpPr>
      </xdr:nvSpPr>
      <xdr:spPr>
        <a:xfrm>
          <a:off x="63817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19050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211" name="Rectangle 238"/>
        <xdr:cNvSpPr>
          <a:spLocks/>
        </xdr:cNvSpPr>
      </xdr:nvSpPr>
      <xdr:spPr>
        <a:xfrm>
          <a:off x="72771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38100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212" name="Rectangle 239"/>
        <xdr:cNvSpPr>
          <a:spLocks/>
        </xdr:cNvSpPr>
      </xdr:nvSpPr>
      <xdr:spPr>
        <a:xfrm>
          <a:off x="82105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152</xdr:row>
      <xdr:rowOff>0</xdr:rowOff>
    </xdr:from>
    <xdr:to>
      <xdr:col>8</xdr:col>
      <xdr:colOff>314325</xdr:colOff>
      <xdr:row>152</xdr:row>
      <xdr:rowOff>0</xdr:rowOff>
    </xdr:to>
    <xdr:sp>
      <xdr:nvSpPr>
        <xdr:cNvPr id="213" name="Rectangle 240"/>
        <xdr:cNvSpPr>
          <a:spLocks/>
        </xdr:cNvSpPr>
      </xdr:nvSpPr>
      <xdr:spPr>
        <a:xfrm>
          <a:off x="63817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19050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214" name="Rectangle 241"/>
        <xdr:cNvSpPr>
          <a:spLocks/>
        </xdr:cNvSpPr>
      </xdr:nvSpPr>
      <xdr:spPr>
        <a:xfrm>
          <a:off x="72771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38100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215" name="Rectangle 242"/>
        <xdr:cNvSpPr>
          <a:spLocks/>
        </xdr:cNvSpPr>
      </xdr:nvSpPr>
      <xdr:spPr>
        <a:xfrm>
          <a:off x="82105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152</xdr:row>
      <xdr:rowOff>0</xdr:rowOff>
    </xdr:from>
    <xdr:to>
      <xdr:col>8</xdr:col>
      <xdr:colOff>314325</xdr:colOff>
      <xdr:row>152</xdr:row>
      <xdr:rowOff>0</xdr:rowOff>
    </xdr:to>
    <xdr:sp>
      <xdr:nvSpPr>
        <xdr:cNvPr id="216" name="Rectangle 243"/>
        <xdr:cNvSpPr>
          <a:spLocks/>
        </xdr:cNvSpPr>
      </xdr:nvSpPr>
      <xdr:spPr>
        <a:xfrm>
          <a:off x="63817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19050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217" name="Rectangle 244"/>
        <xdr:cNvSpPr>
          <a:spLocks/>
        </xdr:cNvSpPr>
      </xdr:nvSpPr>
      <xdr:spPr>
        <a:xfrm>
          <a:off x="72771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218" name="Rectangle 245"/>
        <xdr:cNvSpPr>
          <a:spLocks/>
        </xdr:cNvSpPr>
      </xdr:nvSpPr>
      <xdr:spPr>
        <a:xfrm>
          <a:off x="72961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219" name="Rectangle 246"/>
        <xdr:cNvSpPr>
          <a:spLocks/>
        </xdr:cNvSpPr>
      </xdr:nvSpPr>
      <xdr:spPr>
        <a:xfrm>
          <a:off x="81915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6</xdr:col>
      <xdr:colOff>38100</xdr:colOff>
      <xdr:row>152</xdr:row>
      <xdr:rowOff>0</xdr:rowOff>
    </xdr:from>
    <xdr:to>
      <xdr:col>6</xdr:col>
      <xdr:colOff>314325</xdr:colOff>
      <xdr:row>152</xdr:row>
      <xdr:rowOff>0</xdr:rowOff>
    </xdr:to>
    <xdr:sp>
      <xdr:nvSpPr>
        <xdr:cNvPr id="220" name="Rectangle 247"/>
        <xdr:cNvSpPr>
          <a:spLocks/>
        </xdr:cNvSpPr>
      </xdr:nvSpPr>
      <xdr:spPr>
        <a:xfrm>
          <a:off x="54673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221" name="Rectangle 248"/>
        <xdr:cNvSpPr>
          <a:spLocks/>
        </xdr:cNvSpPr>
      </xdr:nvSpPr>
      <xdr:spPr>
        <a:xfrm>
          <a:off x="81915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19050</xdr:colOff>
      <xdr:row>152</xdr:row>
      <xdr:rowOff>0</xdr:rowOff>
    </xdr:from>
    <xdr:to>
      <xdr:col>8</xdr:col>
      <xdr:colOff>314325</xdr:colOff>
      <xdr:row>152</xdr:row>
      <xdr:rowOff>0</xdr:rowOff>
    </xdr:to>
    <xdr:sp>
      <xdr:nvSpPr>
        <xdr:cNvPr id="222" name="Rectangle 249"/>
        <xdr:cNvSpPr>
          <a:spLocks/>
        </xdr:cNvSpPr>
      </xdr:nvSpPr>
      <xdr:spPr>
        <a:xfrm>
          <a:off x="63627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223" name="Rectangle 250"/>
        <xdr:cNvSpPr>
          <a:spLocks/>
        </xdr:cNvSpPr>
      </xdr:nvSpPr>
      <xdr:spPr>
        <a:xfrm>
          <a:off x="72961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224" name="Rectangle 251"/>
        <xdr:cNvSpPr>
          <a:spLocks/>
        </xdr:cNvSpPr>
      </xdr:nvSpPr>
      <xdr:spPr>
        <a:xfrm>
          <a:off x="72961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225" name="Rectangle 252"/>
        <xdr:cNvSpPr>
          <a:spLocks/>
        </xdr:cNvSpPr>
      </xdr:nvSpPr>
      <xdr:spPr>
        <a:xfrm>
          <a:off x="81915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152</xdr:row>
      <xdr:rowOff>0</xdr:rowOff>
    </xdr:from>
    <xdr:to>
      <xdr:col>8</xdr:col>
      <xdr:colOff>314325</xdr:colOff>
      <xdr:row>152</xdr:row>
      <xdr:rowOff>0</xdr:rowOff>
    </xdr:to>
    <xdr:sp>
      <xdr:nvSpPr>
        <xdr:cNvPr id="226" name="Rectangle 253"/>
        <xdr:cNvSpPr>
          <a:spLocks/>
        </xdr:cNvSpPr>
      </xdr:nvSpPr>
      <xdr:spPr>
        <a:xfrm>
          <a:off x="63817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19050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227" name="Rectangle 254"/>
        <xdr:cNvSpPr>
          <a:spLocks/>
        </xdr:cNvSpPr>
      </xdr:nvSpPr>
      <xdr:spPr>
        <a:xfrm>
          <a:off x="72771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38100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228" name="Rectangle 255"/>
        <xdr:cNvSpPr>
          <a:spLocks/>
        </xdr:cNvSpPr>
      </xdr:nvSpPr>
      <xdr:spPr>
        <a:xfrm>
          <a:off x="82105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152</xdr:row>
      <xdr:rowOff>0</xdr:rowOff>
    </xdr:from>
    <xdr:to>
      <xdr:col>8</xdr:col>
      <xdr:colOff>314325</xdr:colOff>
      <xdr:row>152</xdr:row>
      <xdr:rowOff>0</xdr:rowOff>
    </xdr:to>
    <xdr:sp>
      <xdr:nvSpPr>
        <xdr:cNvPr id="229" name="Rectangle 256"/>
        <xdr:cNvSpPr>
          <a:spLocks/>
        </xdr:cNvSpPr>
      </xdr:nvSpPr>
      <xdr:spPr>
        <a:xfrm>
          <a:off x="63817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19050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230" name="Rectangle 257"/>
        <xdr:cNvSpPr>
          <a:spLocks/>
        </xdr:cNvSpPr>
      </xdr:nvSpPr>
      <xdr:spPr>
        <a:xfrm>
          <a:off x="72771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38100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231" name="Rectangle 258"/>
        <xdr:cNvSpPr>
          <a:spLocks/>
        </xdr:cNvSpPr>
      </xdr:nvSpPr>
      <xdr:spPr>
        <a:xfrm>
          <a:off x="82105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232" name="Rectangle 259"/>
        <xdr:cNvSpPr>
          <a:spLocks/>
        </xdr:cNvSpPr>
      </xdr:nvSpPr>
      <xdr:spPr>
        <a:xfrm>
          <a:off x="72961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233" name="Rectangle 260"/>
        <xdr:cNvSpPr>
          <a:spLocks/>
        </xdr:cNvSpPr>
      </xdr:nvSpPr>
      <xdr:spPr>
        <a:xfrm>
          <a:off x="81915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234" name="Rectangle 261"/>
        <xdr:cNvSpPr>
          <a:spLocks/>
        </xdr:cNvSpPr>
      </xdr:nvSpPr>
      <xdr:spPr>
        <a:xfrm>
          <a:off x="72961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235" name="Rectangle 262"/>
        <xdr:cNvSpPr>
          <a:spLocks/>
        </xdr:cNvSpPr>
      </xdr:nvSpPr>
      <xdr:spPr>
        <a:xfrm>
          <a:off x="81915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236" name="Rectangle 263"/>
        <xdr:cNvSpPr>
          <a:spLocks/>
        </xdr:cNvSpPr>
      </xdr:nvSpPr>
      <xdr:spPr>
        <a:xfrm>
          <a:off x="72961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237" name="Rectangle 264"/>
        <xdr:cNvSpPr>
          <a:spLocks/>
        </xdr:cNvSpPr>
      </xdr:nvSpPr>
      <xdr:spPr>
        <a:xfrm>
          <a:off x="81915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123825</xdr:colOff>
      <xdr:row>152</xdr:row>
      <xdr:rowOff>0</xdr:rowOff>
    </xdr:from>
    <xdr:to>
      <xdr:col>8</xdr:col>
      <xdr:colOff>400050</xdr:colOff>
      <xdr:row>152</xdr:row>
      <xdr:rowOff>0</xdr:rowOff>
    </xdr:to>
    <xdr:sp>
      <xdr:nvSpPr>
        <xdr:cNvPr id="238" name="Rectangle 265"/>
        <xdr:cNvSpPr>
          <a:spLocks/>
        </xdr:cNvSpPr>
      </xdr:nvSpPr>
      <xdr:spPr>
        <a:xfrm>
          <a:off x="6467475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85725</xdr:colOff>
      <xdr:row>152</xdr:row>
      <xdr:rowOff>0</xdr:rowOff>
    </xdr:from>
    <xdr:to>
      <xdr:col>10</xdr:col>
      <xdr:colOff>409575</xdr:colOff>
      <xdr:row>152</xdr:row>
      <xdr:rowOff>0</xdr:rowOff>
    </xdr:to>
    <xdr:sp>
      <xdr:nvSpPr>
        <xdr:cNvPr id="239" name="Rectangle 266"/>
        <xdr:cNvSpPr>
          <a:spLocks/>
        </xdr:cNvSpPr>
      </xdr:nvSpPr>
      <xdr:spPr>
        <a:xfrm>
          <a:off x="7343775" y="28965525"/>
          <a:ext cx="323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152</xdr:row>
      <xdr:rowOff>0</xdr:rowOff>
    </xdr:from>
    <xdr:to>
      <xdr:col>8</xdr:col>
      <xdr:colOff>381000</xdr:colOff>
      <xdr:row>152</xdr:row>
      <xdr:rowOff>0</xdr:rowOff>
    </xdr:to>
    <xdr:sp>
      <xdr:nvSpPr>
        <xdr:cNvPr id="240" name="Rectangle 267"/>
        <xdr:cNvSpPr>
          <a:spLocks/>
        </xdr:cNvSpPr>
      </xdr:nvSpPr>
      <xdr:spPr>
        <a:xfrm>
          <a:off x="6381750" y="28965525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</a:p>
      </xdr:txBody>
    </xdr:sp>
    <xdr:clientData/>
  </xdr:twoCellAnchor>
  <xdr:twoCellAnchor>
    <xdr:from>
      <xdr:col>8</xdr:col>
      <xdr:colOff>123825</xdr:colOff>
      <xdr:row>152</xdr:row>
      <xdr:rowOff>0</xdr:rowOff>
    </xdr:from>
    <xdr:to>
      <xdr:col>8</xdr:col>
      <xdr:colOff>400050</xdr:colOff>
      <xdr:row>152</xdr:row>
      <xdr:rowOff>0</xdr:rowOff>
    </xdr:to>
    <xdr:sp>
      <xdr:nvSpPr>
        <xdr:cNvPr id="241" name="Rectangle 268"/>
        <xdr:cNvSpPr>
          <a:spLocks/>
        </xdr:cNvSpPr>
      </xdr:nvSpPr>
      <xdr:spPr>
        <a:xfrm>
          <a:off x="6467475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152</xdr:row>
      <xdr:rowOff>0</xdr:rowOff>
    </xdr:from>
    <xdr:to>
      <xdr:col>8</xdr:col>
      <xdr:colOff>381000</xdr:colOff>
      <xdr:row>152</xdr:row>
      <xdr:rowOff>0</xdr:rowOff>
    </xdr:to>
    <xdr:sp>
      <xdr:nvSpPr>
        <xdr:cNvPr id="242" name="Rectangle 269"/>
        <xdr:cNvSpPr>
          <a:spLocks/>
        </xdr:cNvSpPr>
      </xdr:nvSpPr>
      <xdr:spPr>
        <a:xfrm>
          <a:off x="6381750" y="28965525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</a:p>
      </xdr:txBody>
    </xdr:sp>
    <xdr:clientData/>
  </xdr:twoCellAnchor>
  <xdr:twoCellAnchor>
    <xdr:from>
      <xdr:col>8</xdr:col>
      <xdr:colOff>123825</xdr:colOff>
      <xdr:row>152</xdr:row>
      <xdr:rowOff>0</xdr:rowOff>
    </xdr:from>
    <xdr:to>
      <xdr:col>8</xdr:col>
      <xdr:colOff>400050</xdr:colOff>
      <xdr:row>152</xdr:row>
      <xdr:rowOff>0</xdr:rowOff>
    </xdr:to>
    <xdr:sp>
      <xdr:nvSpPr>
        <xdr:cNvPr id="243" name="Rectangle 270"/>
        <xdr:cNvSpPr>
          <a:spLocks/>
        </xdr:cNvSpPr>
      </xdr:nvSpPr>
      <xdr:spPr>
        <a:xfrm>
          <a:off x="6467475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152</xdr:row>
      <xdr:rowOff>0</xdr:rowOff>
    </xdr:from>
    <xdr:to>
      <xdr:col>8</xdr:col>
      <xdr:colOff>381000</xdr:colOff>
      <xdr:row>152</xdr:row>
      <xdr:rowOff>0</xdr:rowOff>
    </xdr:to>
    <xdr:sp>
      <xdr:nvSpPr>
        <xdr:cNvPr id="244" name="Rectangle 271"/>
        <xdr:cNvSpPr>
          <a:spLocks/>
        </xdr:cNvSpPr>
      </xdr:nvSpPr>
      <xdr:spPr>
        <a:xfrm>
          <a:off x="6381750" y="28965525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</a:p>
      </xdr:txBody>
    </xdr:sp>
    <xdr:clientData/>
  </xdr:twoCellAnchor>
  <xdr:twoCellAnchor>
    <xdr:from>
      <xdr:col>8</xdr:col>
      <xdr:colOff>123825</xdr:colOff>
      <xdr:row>152</xdr:row>
      <xdr:rowOff>0</xdr:rowOff>
    </xdr:from>
    <xdr:to>
      <xdr:col>8</xdr:col>
      <xdr:colOff>400050</xdr:colOff>
      <xdr:row>152</xdr:row>
      <xdr:rowOff>0</xdr:rowOff>
    </xdr:to>
    <xdr:sp>
      <xdr:nvSpPr>
        <xdr:cNvPr id="245" name="Rectangle 272"/>
        <xdr:cNvSpPr>
          <a:spLocks/>
        </xdr:cNvSpPr>
      </xdr:nvSpPr>
      <xdr:spPr>
        <a:xfrm>
          <a:off x="6467475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85725</xdr:colOff>
      <xdr:row>152</xdr:row>
      <xdr:rowOff>0</xdr:rowOff>
    </xdr:from>
    <xdr:to>
      <xdr:col>10</xdr:col>
      <xdr:colOff>409575</xdr:colOff>
      <xdr:row>152</xdr:row>
      <xdr:rowOff>0</xdr:rowOff>
    </xdr:to>
    <xdr:sp>
      <xdr:nvSpPr>
        <xdr:cNvPr id="246" name="Rectangle 273"/>
        <xdr:cNvSpPr>
          <a:spLocks/>
        </xdr:cNvSpPr>
      </xdr:nvSpPr>
      <xdr:spPr>
        <a:xfrm>
          <a:off x="7343775" y="28965525"/>
          <a:ext cx="323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152</xdr:row>
      <xdr:rowOff>0</xdr:rowOff>
    </xdr:from>
    <xdr:to>
      <xdr:col>8</xdr:col>
      <xdr:colOff>381000</xdr:colOff>
      <xdr:row>152</xdr:row>
      <xdr:rowOff>0</xdr:rowOff>
    </xdr:to>
    <xdr:sp>
      <xdr:nvSpPr>
        <xdr:cNvPr id="247" name="Rectangle 274"/>
        <xdr:cNvSpPr>
          <a:spLocks/>
        </xdr:cNvSpPr>
      </xdr:nvSpPr>
      <xdr:spPr>
        <a:xfrm>
          <a:off x="6381750" y="28965525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</a:p>
      </xdr:txBody>
    </xdr:sp>
    <xdr:clientData/>
  </xdr:twoCellAnchor>
  <xdr:twoCellAnchor>
    <xdr:from>
      <xdr:col>10</xdr:col>
      <xdr:colOff>38100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248" name="Rectangle 275"/>
        <xdr:cNvSpPr>
          <a:spLocks/>
        </xdr:cNvSpPr>
      </xdr:nvSpPr>
      <xdr:spPr>
        <a:xfrm>
          <a:off x="72961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249" name="Rectangle 276"/>
        <xdr:cNvSpPr>
          <a:spLocks/>
        </xdr:cNvSpPr>
      </xdr:nvSpPr>
      <xdr:spPr>
        <a:xfrm>
          <a:off x="81915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250" name="Rectangle 277"/>
        <xdr:cNvSpPr>
          <a:spLocks/>
        </xdr:cNvSpPr>
      </xdr:nvSpPr>
      <xdr:spPr>
        <a:xfrm>
          <a:off x="72961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251" name="Rectangle 278"/>
        <xdr:cNvSpPr>
          <a:spLocks/>
        </xdr:cNvSpPr>
      </xdr:nvSpPr>
      <xdr:spPr>
        <a:xfrm>
          <a:off x="81915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152</xdr:row>
      <xdr:rowOff>0</xdr:rowOff>
    </xdr:from>
    <xdr:to>
      <xdr:col>8</xdr:col>
      <xdr:colOff>314325</xdr:colOff>
      <xdr:row>152</xdr:row>
      <xdr:rowOff>0</xdr:rowOff>
    </xdr:to>
    <xdr:sp>
      <xdr:nvSpPr>
        <xdr:cNvPr id="252" name="Rectangle 279"/>
        <xdr:cNvSpPr>
          <a:spLocks/>
        </xdr:cNvSpPr>
      </xdr:nvSpPr>
      <xdr:spPr>
        <a:xfrm>
          <a:off x="63817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19050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253" name="Rectangle 280"/>
        <xdr:cNvSpPr>
          <a:spLocks/>
        </xdr:cNvSpPr>
      </xdr:nvSpPr>
      <xdr:spPr>
        <a:xfrm>
          <a:off x="72771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38100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254" name="Rectangle 281"/>
        <xdr:cNvSpPr>
          <a:spLocks/>
        </xdr:cNvSpPr>
      </xdr:nvSpPr>
      <xdr:spPr>
        <a:xfrm>
          <a:off x="82105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152</xdr:row>
      <xdr:rowOff>0</xdr:rowOff>
    </xdr:from>
    <xdr:to>
      <xdr:col>8</xdr:col>
      <xdr:colOff>314325</xdr:colOff>
      <xdr:row>152</xdr:row>
      <xdr:rowOff>0</xdr:rowOff>
    </xdr:to>
    <xdr:sp>
      <xdr:nvSpPr>
        <xdr:cNvPr id="255" name="Rectangle 282"/>
        <xdr:cNvSpPr>
          <a:spLocks/>
        </xdr:cNvSpPr>
      </xdr:nvSpPr>
      <xdr:spPr>
        <a:xfrm>
          <a:off x="63817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19050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256" name="Rectangle 283"/>
        <xdr:cNvSpPr>
          <a:spLocks/>
        </xdr:cNvSpPr>
      </xdr:nvSpPr>
      <xdr:spPr>
        <a:xfrm>
          <a:off x="72771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38100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257" name="Rectangle 284"/>
        <xdr:cNvSpPr>
          <a:spLocks/>
        </xdr:cNvSpPr>
      </xdr:nvSpPr>
      <xdr:spPr>
        <a:xfrm>
          <a:off x="82105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152</xdr:row>
      <xdr:rowOff>0</xdr:rowOff>
    </xdr:from>
    <xdr:to>
      <xdr:col>8</xdr:col>
      <xdr:colOff>314325</xdr:colOff>
      <xdr:row>152</xdr:row>
      <xdr:rowOff>0</xdr:rowOff>
    </xdr:to>
    <xdr:sp>
      <xdr:nvSpPr>
        <xdr:cNvPr id="258" name="Rectangle 285"/>
        <xdr:cNvSpPr>
          <a:spLocks/>
        </xdr:cNvSpPr>
      </xdr:nvSpPr>
      <xdr:spPr>
        <a:xfrm>
          <a:off x="63817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19050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259" name="Rectangle 286"/>
        <xdr:cNvSpPr>
          <a:spLocks/>
        </xdr:cNvSpPr>
      </xdr:nvSpPr>
      <xdr:spPr>
        <a:xfrm>
          <a:off x="72771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260" name="Rectangle 287"/>
        <xdr:cNvSpPr>
          <a:spLocks/>
        </xdr:cNvSpPr>
      </xdr:nvSpPr>
      <xdr:spPr>
        <a:xfrm>
          <a:off x="72961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261" name="Rectangle 288"/>
        <xdr:cNvSpPr>
          <a:spLocks/>
        </xdr:cNvSpPr>
      </xdr:nvSpPr>
      <xdr:spPr>
        <a:xfrm>
          <a:off x="81915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6</xdr:col>
      <xdr:colOff>38100</xdr:colOff>
      <xdr:row>152</xdr:row>
      <xdr:rowOff>0</xdr:rowOff>
    </xdr:from>
    <xdr:to>
      <xdr:col>6</xdr:col>
      <xdr:colOff>314325</xdr:colOff>
      <xdr:row>152</xdr:row>
      <xdr:rowOff>0</xdr:rowOff>
    </xdr:to>
    <xdr:sp>
      <xdr:nvSpPr>
        <xdr:cNvPr id="262" name="Rectangle 289"/>
        <xdr:cNvSpPr>
          <a:spLocks/>
        </xdr:cNvSpPr>
      </xdr:nvSpPr>
      <xdr:spPr>
        <a:xfrm>
          <a:off x="54673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6</xdr:col>
      <xdr:colOff>19050</xdr:colOff>
      <xdr:row>152</xdr:row>
      <xdr:rowOff>0</xdr:rowOff>
    </xdr:from>
    <xdr:to>
      <xdr:col>6</xdr:col>
      <xdr:colOff>314325</xdr:colOff>
      <xdr:row>152</xdr:row>
      <xdr:rowOff>0</xdr:rowOff>
    </xdr:to>
    <xdr:sp>
      <xdr:nvSpPr>
        <xdr:cNvPr id="263" name="Rectangle 290"/>
        <xdr:cNvSpPr>
          <a:spLocks/>
        </xdr:cNvSpPr>
      </xdr:nvSpPr>
      <xdr:spPr>
        <a:xfrm>
          <a:off x="54483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38100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264" name="Rectangle 291"/>
        <xdr:cNvSpPr>
          <a:spLocks/>
        </xdr:cNvSpPr>
      </xdr:nvSpPr>
      <xdr:spPr>
        <a:xfrm>
          <a:off x="82105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19050</xdr:colOff>
      <xdr:row>152</xdr:row>
      <xdr:rowOff>0</xdr:rowOff>
    </xdr:from>
    <xdr:to>
      <xdr:col>8</xdr:col>
      <xdr:colOff>314325</xdr:colOff>
      <xdr:row>152</xdr:row>
      <xdr:rowOff>0</xdr:rowOff>
    </xdr:to>
    <xdr:sp>
      <xdr:nvSpPr>
        <xdr:cNvPr id="265" name="Rectangle 292"/>
        <xdr:cNvSpPr>
          <a:spLocks/>
        </xdr:cNvSpPr>
      </xdr:nvSpPr>
      <xdr:spPr>
        <a:xfrm>
          <a:off x="63627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266" name="Rectangle 293"/>
        <xdr:cNvSpPr>
          <a:spLocks/>
        </xdr:cNvSpPr>
      </xdr:nvSpPr>
      <xdr:spPr>
        <a:xfrm>
          <a:off x="72961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267" name="Rectangle 294"/>
        <xdr:cNvSpPr>
          <a:spLocks/>
        </xdr:cNvSpPr>
      </xdr:nvSpPr>
      <xdr:spPr>
        <a:xfrm>
          <a:off x="72961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268" name="Rectangle 295"/>
        <xdr:cNvSpPr>
          <a:spLocks/>
        </xdr:cNvSpPr>
      </xdr:nvSpPr>
      <xdr:spPr>
        <a:xfrm>
          <a:off x="81915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152</xdr:row>
      <xdr:rowOff>0</xdr:rowOff>
    </xdr:from>
    <xdr:to>
      <xdr:col>8</xdr:col>
      <xdr:colOff>314325</xdr:colOff>
      <xdr:row>152</xdr:row>
      <xdr:rowOff>0</xdr:rowOff>
    </xdr:to>
    <xdr:sp>
      <xdr:nvSpPr>
        <xdr:cNvPr id="269" name="Rectangle 296"/>
        <xdr:cNvSpPr>
          <a:spLocks/>
        </xdr:cNvSpPr>
      </xdr:nvSpPr>
      <xdr:spPr>
        <a:xfrm>
          <a:off x="63817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19050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270" name="Rectangle 297"/>
        <xdr:cNvSpPr>
          <a:spLocks/>
        </xdr:cNvSpPr>
      </xdr:nvSpPr>
      <xdr:spPr>
        <a:xfrm>
          <a:off x="72771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38100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271" name="Rectangle 298"/>
        <xdr:cNvSpPr>
          <a:spLocks/>
        </xdr:cNvSpPr>
      </xdr:nvSpPr>
      <xdr:spPr>
        <a:xfrm>
          <a:off x="82105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152</xdr:row>
      <xdr:rowOff>0</xdr:rowOff>
    </xdr:from>
    <xdr:to>
      <xdr:col>8</xdr:col>
      <xdr:colOff>314325</xdr:colOff>
      <xdr:row>152</xdr:row>
      <xdr:rowOff>0</xdr:rowOff>
    </xdr:to>
    <xdr:sp>
      <xdr:nvSpPr>
        <xdr:cNvPr id="272" name="Rectangle 299"/>
        <xdr:cNvSpPr>
          <a:spLocks/>
        </xdr:cNvSpPr>
      </xdr:nvSpPr>
      <xdr:spPr>
        <a:xfrm>
          <a:off x="63817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19050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273" name="Rectangle 300"/>
        <xdr:cNvSpPr>
          <a:spLocks/>
        </xdr:cNvSpPr>
      </xdr:nvSpPr>
      <xdr:spPr>
        <a:xfrm>
          <a:off x="72771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38100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274" name="Rectangle 301"/>
        <xdr:cNvSpPr>
          <a:spLocks/>
        </xdr:cNvSpPr>
      </xdr:nvSpPr>
      <xdr:spPr>
        <a:xfrm>
          <a:off x="82105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275" name="Rectangle 302"/>
        <xdr:cNvSpPr>
          <a:spLocks/>
        </xdr:cNvSpPr>
      </xdr:nvSpPr>
      <xdr:spPr>
        <a:xfrm>
          <a:off x="72961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276" name="Rectangle 303"/>
        <xdr:cNvSpPr>
          <a:spLocks/>
        </xdr:cNvSpPr>
      </xdr:nvSpPr>
      <xdr:spPr>
        <a:xfrm>
          <a:off x="81915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277" name="Rectangle 304"/>
        <xdr:cNvSpPr>
          <a:spLocks/>
        </xdr:cNvSpPr>
      </xdr:nvSpPr>
      <xdr:spPr>
        <a:xfrm>
          <a:off x="72961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278" name="Rectangle 305"/>
        <xdr:cNvSpPr>
          <a:spLocks/>
        </xdr:cNvSpPr>
      </xdr:nvSpPr>
      <xdr:spPr>
        <a:xfrm>
          <a:off x="81915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279" name="Rectangle 306"/>
        <xdr:cNvSpPr>
          <a:spLocks/>
        </xdr:cNvSpPr>
      </xdr:nvSpPr>
      <xdr:spPr>
        <a:xfrm>
          <a:off x="72961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280" name="Rectangle 307"/>
        <xdr:cNvSpPr>
          <a:spLocks/>
        </xdr:cNvSpPr>
      </xdr:nvSpPr>
      <xdr:spPr>
        <a:xfrm>
          <a:off x="81915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123825</xdr:colOff>
      <xdr:row>152</xdr:row>
      <xdr:rowOff>0</xdr:rowOff>
    </xdr:from>
    <xdr:to>
      <xdr:col>8</xdr:col>
      <xdr:colOff>400050</xdr:colOff>
      <xdr:row>152</xdr:row>
      <xdr:rowOff>0</xdr:rowOff>
    </xdr:to>
    <xdr:sp>
      <xdr:nvSpPr>
        <xdr:cNvPr id="281" name="Rectangle 308"/>
        <xdr:cNvSpPr>
          <a:spLocks/>
        </xdr:cNvSpPr>
      </xdr:nvSpPr>
      <xdr:spPr>
        <a:xfrm>
          <a:off x="6467475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85725</xdr:colOff>
      <xdr:row>152</xdr:row>
      <xdr:rowOff>0</xdr:rowOff>
    </xdr:from>
    <xdr:to>
      <xdr:col>10</xdr:col>
      <xdr:colOff>409575</xdr:colOff>
      <xdr:row>152</xdr:row>
      <xdr:rowOff>0</xdr:rowOff>
    </xdr:to>
    <xdr:sp>
      <xdr:nvSpPr>
        <xdr:cNvPr id="282" name="Rectangle 309"/>
        <xdr:cNvSpPr>
          <a:spLocks/>
        </xdr:cNvSpPr>
      </xdr:nvSpPr>
      <xdr:spPr>
        <a:xfrm>
          <a:off x="7343775" y="28965525"/>
          <a:ext cx="323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152</xdr:row>
      <xdr:rowOff>0</xdr:rowOff>
    </xdr:from>
    <xdr:to>
      <xdr:col>8</xdr:col>
      <xdr:colOff>381000</xdr:colOff>
      <xdr:row>152</xdr:row>
      <xdr:rowOff>0</xdr:rowOff>
    </xdr:to>
    <xdr:sp>
      <xdr:nvSpPr>
        <xdr:cNvPr id="283" name="Rectangle 310"/>
        <xdr:cNvSpPr>
          <a:spLocks/>
        </xdr:cNvSpPr>
      </xdr:nvSpPr>
      <xdr:spPr>
        <a:xfrm>
          <a:off x="6381750" y="28965525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</a:p>
      </xdr:txBody>
    </xdr:sp>
    <xdr:clientData/>
  </xdr:twoCellAnchor>
  <xdr:twoCellAnchor>
    <xdr:from>
      <xdr:col>8</xdr:col>
      <xdr:colOff>123825</xdr:colOff>
      <xdr:row>152</xdr:row>
      <xdr:rowOff>0</xdr:rowOff>
    </xdr:from>
    <xdr:to>
      <xdr:col>8</xdr:col>
      <xdr:colOff>400050</xdr:colOff>
      <xdr:row>152</xdr:row>
      <xdr:rowOff>0</xdr:rowOff>
    </xdr:to>
    <xdr:sp>
      <xdr:nvSpPr>
        <xdr:cNvPr id="284" name="Rectangle 311"/>
        <xdr:cNvSpPr>
          <a:spLocks/>
        </xdr:cNvSpPr>
      </xdr:nvSpPr>
      <xdr:spPr>
        <a:xfrm>
          <a:off x="6467475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152</xdr:row>
      <xdr:rowOff>0</xdr:rowOff>
    </xdr:from>
    <xdr:to>
      <xdr:col>8</xdr:col>
      <xdr:colOff>381000</xdr:colOff>
      <xdr:row>152</xdr:row>
      <xdr:rowOff>0</xdr:rowOff>
    </xdr:to>
    <xdr:sp>
      <xdr:nvSpPr>
        <xdr:cNvPr id="285" name="Rectangle 312"/>
        <xdr:cNvSpPr>
          <a:spLocks/>
        </xdr:cNvSpPr>
      </xdr:nvSpPr>
      <xdr:spPr>
        <a:xfrm>
          <a:off x="6381750" y="28965525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</a:p>
      </xdr:txBody>
    </xdr:sp>
    <xdr:clientData/>
  </xdr:twoCellAnchor>
  <xdr:twoCellAnchor>
    <xdr:from>
      <xdr:col>8</xdr:col>
      <xdr:colOff>123825</xdr:colOff>
      <xdr:row>152</xdr:row>
      <xdr:rowOff>0</xdr:rowOff>
    </xdr:from>
    <xdr:to>
      <xdr:col>8</xdr:col>
      <xdr:colOff>400050</xdr:colOff>
      <xdr:row>152</xdr:row>
      <xdr:rowOff>0</xdr:rowOff>
    </xdr:to>
    <xdr:sp>
      <xdr:nvSpPr>
        <xdr:cNvPr id="286" name="Rectangle 313"/>
        <xdr:cNvSpPr>
          <a:spLocks/>
        </xdr:cNvSpPr>
      </xdr:nvSpPr>
      <xdr:spPr>
        <a:xfrm>
          <a:off x="6467475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152</xdr:row>
      <xdr:rowOff>0</xdr:rowOff>
    </xdr:from>
    <xdr:to>
      <xdr:col>8</xdr:col>
      <xdr:colOff>381000</xdr:colOff>
      <xdr:row>152</xdr:row>
      <xdr:rowOff>0</xdr:rowOff>
    </xdr:to>
    <xdr:sp>
      <xdr:nvSpPr>
        <xdr:cNvPr id="287" name="Rectangle 314"/>
        <xdr:cNvSpPr>
          <a:spLocks/>
        </xdr:cNvSpPr>
      </xdr:nvSpPr>
      <xdr:spPr>
        <a:xfrm>
          <a:off x="6381750" y="28965525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</a:p>
      </xdr:txBody>
    </xdr:sp>
    <xdr:clientData/>
  </xdr:twoCellAnchor>
  <xdr:twoCellAnchor>
    <xdr:from>
      <xdr:col>8</xdr:col>
      <xdr:colOff>123825</xdr:colOff>
      <xdr:row>152</xdr:row>
      <xdr:rowOff>0</xdr:rowOff>
    </xdr:from>
    <xdr:to>
      <xdr:col>8</xdr:col>
      <xdr:colOff>400050</xdr:colOff>
      <xdr:row>152</xdr:row>
      <xdr:rowOff>0</xdr:rowOff>
    </xdr:to>
    <xdr:sp>
      <xdr:nvSpPr>
        <xdr:cNvPr id="288" name="Rectangle 315"/>
        <xdr:cNvSpPr>
          <a:spLocks/>
        </xdr:cNvSpPr>
      </xdr:nvSpPr>
      <xdr:spPr>
        <a:xfrm>
          <a:off x="6467475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85725</xdr:colOff>
      <xdr:row>152</xdr:row>
      <xdr:rowOff>0</xdr:rowOff>
    </xdr:from>
    <xdr:to>
      <xdr:col>10</xdr:col>
      <xdr:colOff>409575</xdr:colOff>
      <xdr:row>152</xdr:row>
      <xdr:rowOff>0</xdr:rowOff>
    </xdr:to>
    <xdr:sp>
      <xdr:nvSpPr>
        <xdr:cNvPr id="289" name="Rectangle 316"/>
        <xdr:cNvSpPr>
          <a:spLocks/>
        </xdr:cNvSpPr>
      </xdr:nvSpPr>
      <xdr:spPr>
        <a:xfrm>
          <a:off x="7343775" y="28965525"/>
          <a:ext cx="323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152</xdr:row>
      <xdr:rowOff>0</xdr:rowOff>
    </xdr:from>
    <xdr:to>
      <xdr:col>8</xdr:col>
      <xdr:colOff>381000</xdr:colOff>
      <xdr:row>152</xdr:row>
      <xdr:rowOff>0</xdr:rowOff>
    </xdr:to>
    <xdr:sp>
      <xdr:nvSpPr>
        <xdr:cNvPr id="290" name="Rectangle 317"/>
        <xdr:cNvSpPr>
          <a:spLocks/>
        </xdr:cNvSpPr>
      </xdr:nvSpPr>
      <xdr:spPr>
        <a:xfrm>
          <a:off x="6381750" y="28965525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</a:p>
      </xdr:txBody>
    </xdr:sp>
    <xdr:clientData/>
  </xdr:twoCellAnchor>
  <xdr:twoCellAnchor>
    <xdr:from>
      <xdr:col>10</xdr:col>
      <xdr:colOff>38100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291" name="Rectangle 318"/>
        <xdr:cNvSpPr>
          <a:spLocks/>
        </xdr:cNvSpPr>
      </xdr:nvSpPr>
      <xdr:spPr>
        <a:xfrm>
          <a:off x="72961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292" name="Rectangle 319"/>
        <xdr:cNvSpPr>
          <a:spLocks/>
        </xdr:cNvSpPr>
      </xdr:nvSpPr>
      <xdr:spPr>
        <a:xfrm>
          <a:off x="81915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293" name="Rectangle 320"/>
        <xdr:cNvSpPr>
          <a:spLocks/>
        </xdr:cNvSpPr>
      </xdr:nvSpPr>
      <xdr:spPr>
        <a:xfrm>
          <a:off x="72961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294" name="Rectangle 321"/>
        <xdr:cNvSpPr>
          <a:spLocks/>
        </xdr:cNvSpPr>
      </xdr:nvSpPr>
      <xdr:spPr>
        <a:xfrm>
          <a:off x="81915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152</xdr:row>
      <xdr:rowOff>0</xdr:rowOff>
    </xdr:from>
    <xdr:to>
      <xdr:col>8</xdr:col>
      <xdr:colOff>314325</xdr:colOff>
      <xdr:row>152</xdr:row>
      <xdr:rowOff>0</xdr:rowOff>
    </xdr:to>
    <xdr:sp>
      <xdr:nvSpPr>
        <xdr:cNvPr id="295" name="Rectangle 322"/>
        <xdr:cNvSpPr>
          <a:spLocks/>
        </xdr:cNvSpPr>
      </xdr:nvSpPr>
      <xdr:spPr>
        <a:xfrm>
          <a:off x="63817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19050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296" name="Rectangle 323"/>
        <xdr:cNvSpPr>
          <a:spLocks/>
        </xdr:cNvSpPr>
      </xdr:nvSpPr>
      <xdr:spPr>
        <a:xfrm>
          <a:off x="72771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38100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297" name="Rectangle 324"/>
        <xdr:cNvSpPr>
          <a:spLocks/>
        </xdr:cNvSpPr>
      </xdr:nvSpPr>
      <xdr:spPr>
        <a:xfrm>
          <a:off x="82105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152</xdr:row>
      <xdr:rowOff>0</xdr:rowOff>
    </xdr:from>
    <xdr:to>
      <xdr:col>8</xdr:col>
      <xdr:colOff>314325</xdr:colOff>
      <xdr:row>152</xdr:row>
      <xdr:rowOff>0</xdr:rowOff>
    </xdr:to>
    <xdr:sp>
      <xdr:nvSpPr>
        <xdr:cNvPr id="298" name="Rectangle 325"/>
        <xdr:cNvSpPr>
          <a:spLocks/>
        </xdr:cNvSpPr>
      </xdr:nvSpPr>
      <xdr:spPr>
        <a:xfrm>
          <a:off x="63817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19050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299" name="Rectangle 326"/>
        <xdr:cNvSpPr>
          <a:spLocks/>
        </xdr:cNvSpPr>
      </xdr:nvSpPr>
      <xdr:spPr>
        <a:xfrm>
          <a:off x="72771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38100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300" name="Rectangle 327"/>
        <xdr:cNvSpPr>
          <a:spLocks/>
        </xdr:cNvSpPr>
      </xdr:nvSpPr>
      <xdr:spPr>
        <a:xfrm>
          <a:off x="82105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152</xdr:row>
      <xdr:rowOff>0</xdr:rowOff>
    </xdr:from>
    <xdr:to>
      <xdr:col>8</xdr:col>
      <xdr:colOff>314325</xdr:colOff>
      <xdr:row>152</xdr:row>
      <xdr:rowOff>0</xdr:rowOff>
    </xdr:to>
    <xdr:sp>
      <xdr:nvSpPr>
        <xdr:cNvPr id="301" name="Rectangle 328"/>
        <xdr:cNvSpPr>
          <a:spLocks/>
        </xdr:cNvSpPr>
      </xdr:nvSpPr>
      <xdr:spPr>
        <a:xfrm>
          <a:off x="63817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19050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302" name="Rectangle 329"/>
        <xdr:cNvSpPr>
          <a:spLocks/>
        </xdr:cNvSpPr>
      </xdr:nvSpPr>
      <xdr:spPr>
        <a:xfrm>
          <a:off x="72771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303" name="Rectangle 330"/>
        <xdr:cNvSpPr>
          <a:spLocks/>
        </xdr:cNvSpPr>
      </xdr:nvSpPr>
      <xdr:spPr>
        <a:xfrm>
          <a:off x="72961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304" name="Rectangle 331"/>
        <xdr:cNvSpPr>
          <a:spLocks/>
        </xdr:cNvSpPr>
      </xdr:nvSpPr>
      <xdr:spPr>
        <a:xfrm>
          <a:off x="81915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6</xdr:col>
      <xdr:colOff>38100</xdr:colOff>
      <xdr:row>152</xdr:row>
      <xdr:rowOff>0</xdr:rowOff>
    </xdr:from>
    <xdr:to>
      <xdr:col>6</xdr:col>
      <xdr:colOff>314325</xdr:colOff>
      <xdr:row>152</xdr:row>
      <xdr:rowOff>0</xdr:rowOff>
    </xdr:to>
    <xdr:sp>
      <xdr:nvSpPr>
        <xdr:cNvPr id="305" name="Rectangle 332"/>
        <xdr:cNvSpPr>
          <a:spLocks/>
        </xdr:cNvSpPr>
      </xdr:nvSpPr>
      <xdr:spPr>
        <a:xfrm>
          <a:off x="54673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306" name="Rectangle 333"/>
        <xdr:cNvSpPr>
          <a:spLocks/>
        </xdr:cNvSpPr>
      </xdr:nvSpPr>
      <xdr:spPr>
        <a:xfrm>
          <a:off x="81915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19050</xdr:colOff>
      <xdr:row>152</xdr:row>
      <xdr:rowOff>0</xdr:rowOff>
    </xdr:from>
    <xdr:to>
      <xdr:col>8</xdr:col>
      <xdr:colOff>314325</xdr:colOff>
      <xdr:row>152</xdr:row>
      <xdr:rowOff>0</xdr:rowOff>
    </xdr:to>
    <xdr:sp>
      <xdr:nvSpPr>
        <xdr:cNvPr id="307" name="Rectangle 334"/>
        <xdr:cNvSpPr>
          <a:spLocks/>
        </xdr:cNvSpPr>
      </xdr:nvSpPr>
      <xdr:spPr>
        <a:xfrm>
          <a:off x="63627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308" name="Rectangle 335"/>
        <xdr:cNvSpPr>
          <a:spLocks/>
        </xdr:cNvSpPr>
      </xdr:nvSpPr>
      <xdr:spPr>
        <a:xfrm>
          <a:off x="72961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309" name="Rectangle 336"/>
        <xdr:cNvSpPr>
          <a:spLocks/>
        </xdr:cNvSpPr>
      </xdr:nvSpPr>
      <xdr:spPr>
        <a:xfrm>
          <a:off x="72961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310" name="Rectangle 337"/>
        <xdr:cNvSpPr>
          <a:spLocks/>
        </xdr:cNvSpPr>
      </xdr:nvSpPr>
      <xdr:spPr>
        <a:xfrm>
          <a:off x="81915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152</xdr:row>
      <xdr:rowOff>0</xdr:rowOff>
    </xdr:from>
    <xdr:to>
      <xdr:col>8</xdr:col>
      <xdr:colOff>314325</xdr:colOff>
      <xdr:row>152</xdr:row>
      <xdr:rowOff>0</xdr:rowOff>
    </xdr:to>
    <xdr:sp>
      <xdr:nvSpPr>
        <xdr:cNvPr id="311" name="Rectangle 338"/>
        <xdr:cNvSpPr>
          <a:spLocks/>
        </xdr:cNvSpPr>
      </xdr:nvSpPr>
      <xdr:spPr>
        <a:xfrm>
          <a:off x="63817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19050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312" name="Rectangle 339"/>
        <xdr:cNvSpPr>
          <a:spLocks/>
        </xdr:cNvSpPr>
      </xdr:nvSpPr>
      <xdr:spPr>
        <a:xfrm>
          <a:off x="72771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38100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313" name="Rectangle 340"/>
        <xdr:cNvSpPr>
          <a:spLocks/>
        </xdr:cNvSpPr>
      </xdr:nvSpPr>
      <xdr:spPr>
        <a:xfrm>
          <a:off x="82105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152</xdr:row>
      <xdr:rowOff>0</xdr:rowOff>
    </xdr:from>
    <xdr:to>
      <xdr:col>8</xdr:col>
      <xdr:colOff>314325</xdr:colOff>
      <xdr:row>152</xdr:row>
      <xdr:rowOff>0</xdr:rowOff>
    </xdr:to>
    <xdr:sp>
      <xdr:nvSpPr>
        <xdr:cNvPr id="314" name="Rectangle 341"/>
        <xdr:cNvSpPr>
          <a:spLocks/>
        </xdr:cNvSpPr>
      </xdr:nvSpPr>
      <xdr:spPr>
        <a:xfrm>
          <a:off x="63817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19050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315" name="Rectangle 342"/>
        <xdr:cNvSpPr>
          <a:spLocks/>
        </xdr:cNvSpPr>
      </xdr:nvSpPr>
      <xdr:spPr>
        <a:xfrm>
          <a:off x="72771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38100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316" name="Rectangle 343"/>
        <xdr:cNvSpPr>
          <a:spLocks/>
        </xdr:cNvSpPr>
      </xdr:nvSpPr>
      <xdr:spPr>
        <a:xfrm>
          <a:off x="82105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317" name="Rectangle 344"/>
        <xdr:cNvSpPr>
          <a:spLocks/>
        </xdr:cNvSpPr>
      </xdr:nvSpPr>
      <xdr:spPr>
        <a:xfrm>
          <a:off x="72961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318" name="Rectangle 345"/>
        <xdr:cNvSpPr>
          <a:spLocks/>
        </xdr:cNvSpPr>
      </xdr:nvSpPr>
      <xdr:spPr>
        <a:xfrm>
          <a:off x="81915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319" name="Rectangle 346"/>
        <xdr:cNvSpPr>
          <a:spLocks/>
        </xdr:cNvSpPr>
      </xdr:nvSpPr>
      <xdr:spPr>
        <a:xfrm>
          <a:off x="72961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320" name="Rectangle 347"/>
        <xdr:cNvSpPr>
          <a:spLocks/>
        </xdr:cNvSpPr>
      </xdr:nvSpPr>
      <xdr:spPr>
        <a:xfrm>
          <a:off x="81915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321" name="Rectangle 348"/>
        <xdr:cNvSpPr>
          <a:spLocks/>
        </xdr:cNvSpPr>
      </xdr:nvSpPr>
      <xdr:spPr>
        <a:xfrm>
          <a:off x="72961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322" name="Rectangle 349"/>
        <xdr:cNvSpPr>
          <a:spLocks/>
        </xdr:cNvSpPr>
      </xdr:nvSpPr>
      <xdr:spPr>
        <a:xfrm>
          <a:off x="81915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123825</xdr:colOff>
      <xdr:row>152</xdr:row>
      <xdr:rowOff>0</xdr:rowOff>
    </xdr:from>
    <xdr:to>
      <xdr:col>8</xdr:col>
      <xdr:colOff>400050</xdr:colOff>
      <xdr:row>152</xdr:row>
      <xdr:rowOff>0</xdr:rowOff>
    </xdr:to>
    <xdr:sp>
      <xdr:nvSpPr>
        <xdr:cNvPr id="323" name="Rectangle 350"/>
        <xdr:cNvSpPr>
          <a:spLocks/>
        </xdr:cNvSpPr>
      </xdr:nvSpPr>
      <xdr:spPr>
        <a:xfrm>
          <a:off x="6467475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85725</xdr:colOff>
      <xdr:row>152</xdr:row>
      <xdr:rowOff>0</xdr:rowOff>
    </xdr:from>
    <xdr:to>
      <xdr:col>10</xdr:col>
      <xdr:colOff>409575</xdr:colOff>
      <xdr:row>152</xdr:row>
      <xdr:rowOff>0</xdr:rowOff>
    </xdr:to>
    <xdr:sp>
      <xdr:nvSpPr>
        <xdr:cNvPr id="324" name="Rectangle 351"/>
        <xdr:cNvSpPr>
          <a:spLocks/>
        </xdr:cNvSpPr>
      </xdr:nvSpPr>
      <xdr:spPr>
        <a:xfrm>
          <a:off x="7343775" y="28965525"/>
          <a:ext cx="323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152</xdr:row>
      <xdr:rowOff>0</xdr:rowOff>
    </xdr:from>
    <xdr:to>
      <xdr:col>8</xdr:col>
      <xdr:colOff>381000</xdr:colOff>
      <xdr:row>152</xdr:row>
      <xdr:rowOff>0</xdr:rowOff>
    </xdr:to>
    <xdr:sp>
      <xdr:nvSpPr>
        <xdr:cNvPr id="325" name="Rectangle 352"/>
        <xdr:cNvSpPr>
          <a:spLocks/>
        </xdr:cNvSpPr>
      </xdr:nvSpPr>
      <xdr:spPr>
        <a:xfrm>
          <a:off x="6381750" y="28965525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</a:p>
      </xdr:txBody>
    </xdr:sp>
    <xdr:clientData/>
  </xdr:twoCellAnchor>
  <xdr:twoCellAnchor>
    <xdr:from>
      <xdr:col>8</xdr:col>
      <xdr:colOff>123825</xdr:colOff>
      <xdr:row>152</xdr:row>
      <xdr:rowOff>0</xdr:rowOff>
    </xdr:from>
    <xdr:to>
      <xdr:col>8</xdr:col>
      <xdr:colOff>400050</xdr:colOff>
      <xdr:row>152</xdr:row>
      <xdr:rowOff>0</xdr:rowOff>
    </xdr:to>
    <xdr:sp>
      <xdr:nvSpPr>
        <xdr:cNvPr id="326" name="Rectangle 353"/>
        <xdr:cNvSpPr>
          <a:spLocks/>
        </xdr:cNvSpPr>
      </xdr:nvSpPr>
      <xdr:spPr>
        <a:xfrm>
          <a:off x="6467475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152</xdr:row>
      <xdr:rowOff>0</xdr:rowOff>
    </xdr:from>
    <xdr:to>
      <xdr:col>8</xdr:col>
      <xdr:colOff>381000</xdr:colOff>
      <xdr:row>152</xdr:row>
      <xdr:rowOff>0</xdr:rowOff>
    </xdr:to>
    <xdr:sp>
      <xdr:nvSpPr>
        <xdr:cNvPr id="327" name="Rectangle 354"/>
        <xdr:cNvSpPr>
          <a:spLocks/>
        </xdr:cNvSpPr>
      </xdr:nvSpPr>
      <xdr:spPr>
        <a:xfrm>
          <a:off x="6381750" y="28965525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</a:p>
      </xdr:txBody>
    </xdr:sp>
    <xdr:clientData/>
  </xdr:twoCellAnchor>
  <xdr:twoCellAnchor>
    <xdr:from>
      <xdr:col>8</xdr:col>
      <xdr:colOff>123825</xdr:colOff>
      <xdr:row>152</xdr:row>
      <xdr:rowOff>0</xdr:rowOff>
    </xdr:from>
    <xdr:to>
      <xdr:col>8</xdr:col>
      <xdr:colOff>400050</xdr:colOff>
      <xdr:row>152</xdr:row>
      <xdr:rowOff>0</xdr:rowOff>
    </xdr:to>
    <xdr:sp>
      <xdr:nvSpPr>
        <xdr:cNvPr id="328" name="Rectangle 355"/>
        <xdr:cNvSpPr>
          <a:spLocks/>
        </xdr:cNvSpPr>
      </xdr:nvSpPr>
      <xdr:spPr>
        <a:xfrm>
          <a:off x="6467475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152</xdr:row>
      <xdr:rowOff>0</xdr:rowOff>
    </xdr:from>
    <xdr:to>
      <xdr:col>8</xdr:col>
      <xdr:colOff>381000</xdr:colOff>
      <xdr:row>152</xdr:row>
      <xdr:rowOff>0</xdr:rowOff>
    </xdr:to>
    <xdr:sp>
      <xdr:nvSpPr>
        <xdr:cNvPr id="329" name="Rectangle 356"/>
        <xdr:cNvSpPr>
          <a:spLocks/>
        </xdr:cNvSpPr>
      </xdr:nvSpPr>
      <xdr:spPr>
        <a:xfrm>
          <a:off x="6381750" y="28965525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</a:p>
      </xdr:txBody>
    </xdr:sp>
    <xdr:clientData/>
  </xdr:twoCellAnchor>
  <xdr:twoCellAnchor>
    <xdr:from>
      <xdr:col>8</xdr:col>
      <xdr:colOff>123825</xdr:colOff>
      <xdr:row>152</xdr:row>
      <xdr:rowOff>0</xdr:rowOff>
    </xdr:from>
    <xdr:to>
      <xdr:col>8</xdr:col>
      <xdr:colOff>400050</xdr:colOff>
      <xdr:row>152</xdr:row>
      <xdr:rowOff>0</xdr:rowOff>
    </xdr:to>
    <xdr:sp>
      <xdr:nvSpPr>
        <xdr:cNvPr id="330" name="Rectangle 357"/>
        <xdr:cNvSpPr>
          <a:spLocks/>
        </xdr:cNvSpPr>
      </xdr:nvSpPr>
      <xdr:spPr>
        <a:xfrm>
          <a:off x="6467475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85725</xdr:colOff>
      <xdr:row>152</xdr:row>
      <xdr:rowOff>0</xdr:rowOff>
    </xdr:from>
    <xdr:to>
      <xdr:col>10</xdr:col>
      <xdr:colOff>409575</xdr:colOff>
      <xdr:row>152</xdr:row>
      <xdr:rowOff>0</xdr:rowOff>
    </xdr:to>
    <xdr:sp>
      <xdr:nvSpPr>
        <xdr:cNvPr id="331" name="Rectangle 358"/>
        <xdr:cNvSpPr>
          <a:spLocks/>
        </xdr:cNvSpPr>
      </xdr:nvSpPr>
      <xdr:spPr>
        <a:xfrm>
          <a:off x="7343775" y="28965525"/>
          <a:ext cx="323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152</xdr:row>
      <xdr:rowOff>0</xdr:rowOff>
    </xdr:from>
    <xdr:to>
      <xdr:col>8</xdr:col>
      <xdr:colOff>381000</xdr:colOff>
      <xdr:row>152</xdr:row>
      <xdr:rowOff>0</xdr:rowOff>
    </xdr:to>
    <xdr:sp>
      <xdr:nvSpPr>
        <xdr:cNvPr id="332" name="Rectangle 359"/>
        <xdr:cNvSpPr>
          <a:spLocks/>
        </xdr:cNvSpPr>
      </xdr:nvSpPr>
      <xdr:spPr>
        <a:xfrm>
          <a:off x="6381750" y="28965525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</a:p>
      </xdr:txBody>
    </xdr:sp>
    <xdr:clientData/>
  </xdr:twoCellAnchor>
  <xdr:twoCellAnchor>
    <xdr:from>
      <xdr:col>10</xdr:col>
      <xdr:colOff>38100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333" name="Rectangle 360"/>
        <xdr:cNvSpPr>
          <a:spLocks/>
        </xdr:cNvSpPr>
      </xdr:nvSpPr>
      <xdr:spPr>
        <a:xfrm>
          <a:off x="72961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334" name="Rectangle 361"/>
        <xdr:cNvSpPr>
          <a:spLocks/>
        </xdr:cNvSpPr>
      </xdr:nvSpPr>
      <xdr:spPr>
        <a:xfrm>
          <a:off x="81915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335" name="Rectangle 362"/>
        <xdr:cNvSpPr>
          <a:spLocks/>
        </xdr:cNvSpPr>
      </xdr:nvSpPr>
      <xdr:spPr>
        <a:xfrm>
          <a:off x="72961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336" name="Rectangle 363"/>
        <xdr:cNvSpPr>
          <a:spLocks/>
        </xdr:cNvSpPr>
      </xdr:nvSpPr>
      <xdr:spPr>
        <a:xfrm>
          <a:off x="81915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152</xdr:row>
      <xdr:rowOff>0</xdr:rowOff>
    </xdr:from>
    <xdr:to>
      <xdr:col>8</xdr:col>
      <xdr:colOff>314325</xdr:colOff>
      <xdr:row>152</xdr:row>
      <xdr:rowOff>0</xdr:rowOff>
    </xdr:to>
    <xdr:sp>
      <xdr:nvSpPr>
        <xdr:cNvPr id="337" name="Rectangle 364"/>
        <xdr:cNvSpPr>
          <a:spLocks/>
        </xdr:cNvSpPr>
      </xdr:nvSpPr>
      <xdr:spPr>
        <a:xfrm>
          <a:off x="63817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19050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338" name="Rectangle 365"/>
        <xdr:cNvSpPr>
          <a:spLocks/>
        </xdr:cNvSpPr>
      </xdr:nvSpPr>
      <xdr:spPr>
        <a:xfrm>
          <a:off x="72771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38100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339" name="Rectangle 366"/>
        <xdr:cNvSpPr>
          <a:spLocks/>
        </xdr:cNvSpPr>
      </xdr:nvSpPr>
      <xdr:spPr>
        <a:xfrm>
          <a:off x="82105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152</xdr:row>
      <xdr:rowOff>0</xdr:rowOff>
    </xdr:from>
    <xdr:to>
      <xdr:col>8</xdr:col>
      <xdr:colOff>314325</xdr:colOff>
      <xdr:row>152</xdr:row>
      <xdr:rowOff>0</xdr:rowOff>
    </xdr:to>
    <xdr:sp>
      <xdr:nvSpPr>
        <xdr:cNvPr id="340" name="Rectangle 367"/>
        <xdr:cNvSpPr>
          <a:spLocks/>
        </xdr:cNvSpPr>
      </xdr:nvSpPr>
      <xdr:spPr>
        <a:xfrm>
          <a:off x="63817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19050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341" name="Rectangle 368"/>
        <xdr:cNvSpPr>
          <a:spLocks/>
        </xdr:cNvSpPr>
      </xdr:nvSpPr>
      <xdr:spPr>
        <a:xfrm>
          <a:off x="72771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38100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342" name="Rectangle 369"/>
        <xdr:cNvSpPr>
          <a:spLocks/>
        </xdr:cNvSpPr>
      </xdr:nvSpPr>
      <xdr:spPr>
        <a:xfrm>
          <a:off x="82105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152</xdr:row>
      <xdr:rowOff>0</xdr:rowOff>
    </xdr:from>
    <xdr:to>
      <xdr:col>8</xdr:col>
      <xdr:colOff>314325</xdr:colOff>
      <xdr:row>152</xdr:row>
      <xdr:rowOff>0</xdr:rowOff>
    </xdr:to>
    <xdr:sp>
      <xdr:nvSpPr>
        <xdr:cNvPr id="343" name="Rectangle 370"/>
        <xdr:cNvSpPr>
          <a:spLocks/>
        </xdr:cNvSpPr>
      </xdr:nvSpPr>
      <xdr:spPr>
        <a:xfrm>
          <a:off x="63817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19050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344" name="Rectangle 371"/>
        <xdr:cNvSpPr>
          <a:spLocks/>
        </xdr:cNvSpPr>
      </xdr:nvSpPr>
      <xdr:spPr>
        <a:xfrm>
          <a:off x="72771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345" name="Rectangle 372"/>
        <xdr:cNvSpPr>
          <a:spLocks/>
        </xdr:cNvSpPr>
      </xdr:nvSpPr>
      <xdr:spPr>
        <a:xfrm>
          <a:off x="72961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346" name="Rectangle 373"/>
        <xdr:cNvSpPr>
          <a:spLocks/>
        </xdr:cNvSpPr>
      </xdr:nvSpPr>
      <xdr:spPr>
        <a:xfrm>
          <a:off x="81915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6</xdr:col>
      <xdr:colOff>38100</xdr:colOff>
      <xdr:row>152</xdr:row>
      <xdr:rowOff>0</xdr:rowOff>
    </xdr:from>
    <xdr:to>
      <xdr:col>6</xdr:col>
      <xdr:colOff>314325</xdr:colOff>
      <xdr:row>152</xdr:row>
      <xdr:rowOff>0</xdr:rowOff>
    </xdr:to>
    <xdr:sp>
      <xdr:nvSpPr>
        <xdr:cNvPr id="347" name="Rectangle 374"/>
        <xdr:cNvSpPr>
          <a:spLocks/>
        </xdr:cNvSpPr>
      </xdr:nvSpPr>
      <xdr:spPr>
        <a:xfrm>
          <a:off x="54673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6</xdr:col>
      <xdr:colOff>19050</xdr:colOff>
      <xdr:row>152</xdr:row>
      <xdr:rowOff>0</xdr:rowOff>
    </xdr:from>
    <xdr:to>
      <xdr:col>6</xdr:col>
      <xdr:colOff>314325</xdr:colOff>
      <xdr:row>152</xdr:row>
      <xdr:rowOff>0</xdr:rowOff>
    </xdr:to>
    <xdr:sp>
      <xdr:nvSpPr>
        <xdr:cNvPr id="348" name="Rectangle 375"/>
        <xdr:cNvSpPr>
          <a:spLocks/>
        </xdr:cNvSpPr>
      </xdr:nvSpPr>
      <xdr:spPr>
        <a:xfrm>
          <a:off x="54483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38100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349" name="Rectangle 376"/>
        <xdr:cNvSpPr>
          <a:spLocks/>
        </xdr:cNvSpPr>
      </xdr:nvSpPr>
      <xdr:spPr>
        <a:xfrm>
          <a:off x="82105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19050</xdr:colOff>
      <xdr:row>152</xdr:row>
      <xdr:rowOff>0</xdr:rowOff>
    </xdr:from>
    <xdr:to>
      <xdr:col>8</xdr:col>
      <xdr:colOff>314325</xdr:colOff>
      <xdr:row>152</xdr:row>
      <xdr:rowOff>0</xdr:rowOff>
    </xdr:to>
    <xdr:sp>
      <xdr:nvSpPr>
        <xdr:cNvPr id="350" name="Rectangle 377"/>
        <xdr:cNvSpPr>
          <a:spLocks/>
        </xdr:cNvSpPr>
      </xdr:nvSpPr>
      <xdr:spPr>
        <a:xfrm>
          <a:off x="63627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351" name="Rectangle 378"/>
        <xdr:cNvSpPr>
          <a:spLocks/>
        </xdr:cNvSpPr>
      </xdr:nvSpPr>
      <xdr:spPr>
        <a:xfrm>
          <a:off x="72961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352" name="Rectangle 379"/>
        <xdr:cNvSpPr>
          <a:spLocks/>
        </xdr:cNvSpPr>
      </xdr:nvSpPr>
      <xdr:spPr>
        <a:xfrm>
          <a:off x="72961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353" name="Rectangle 380"/>
        <xdr:cNvSpPr>
          <a:spLocks/>
        </xdr:cNvSpPr>
      </xdr:nvSpPr>
      <xdr:spPr>
        <a:xfrm>
          <a:off x="81915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152</xdr:row>
      <xdr:rowOff>0</xdr:rowOff>
    </xdr:from>
    <xdr:to>
      <xdr:col>8</xdr:col>
      <xdr:colOff>314325</xdr:colOff>
      <xdr:row>152</xdr:row>
      <xdr:rowOff>0</xdr:rowOff>
    </xdr:to>
    <xdr:sp>
      <xdr:nvSpPr>
        <xdr:cNvPr id="354" name="Rectangle 381"/>
        <xdr:cNvSpPr>
          <a:spLocks/>
        </xdr:cNvSpPr>
      </xdr:nvSpPr>
      <xdr:spPr>
        <a:xfrm>
          <a:off x="63817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19050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355" name="Rectangle 382"/>
        <xdr:cNvSpPr>
          <a:spLocks/>
        </xdr:cNvSpPr>
      </xdr:nvSpPr>
      <xdr:spPr>
        <a:xfrm>
          <a:off x="72771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38100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356" name="Rectangle 383"/>
        <xdr:cNvSpPr>
          <a:spLocks/>
        </xdr:cNvSpPr>
      </xdr:nvSpPr>
      <xdr:spPr>
        <a:xfrm>
          <a:off x="82105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152</xdr:row>
      <xdr:rowOff>0</xdr:rowOff>
    </xdr:from>
    <xdr:to>
      <xdr:col>8</xdr:col>
      <xdr:colOff>314325</xdr:colOff>
      <xdr:row>152</xdr:row>
      <xdr:rowOff>0</xdr:rowOff>
    </xdr:to>
    <xdr:sp>
      <xdr:nvSpPr>
        <xdr:cNvPr id="357" name="Rectangle 384"/>
        <xdr:cNvSpPr>
          <a:spLocks/>
        </xdr:cNvSpPr>
      </xdr:nvSpPr>
      <xdr:spPr>
        <a:xfrm>
          <a:off x="63817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19050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358" name="Rectangle 385"/>
        <xdr:cNvSpPr>
          <a:spLocks/>
        </xdr:cNvSpPr>
      </xdr:nvSpPr>
      <xdr:spPr>
        <a:xfrm>
          <a:off x="72771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38100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359" name="Rectangle 386"/>
        <xdr:cNvSpPr>
          <a:spLocks/>
        </xdr:cNvSpPr>
      </xdr:nvSpPr>
      <xdr:spPr>
        <a:xfrm>
          <a:off x="82105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360" name="Rectangle 387"/>
        <xdr:cNvSpPr>
          <a:spLocks/>
        </xdr:cNvSpPr>
      </xdr:nvSpPr>
      <xdr:spPr>
        <a:xfrm>
          <a:off x="72961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361" name="Rectangle 388"/>
        <xdr:cNvSpPr>
          <a:spLocks/>
        </xdr:cNvSpPr>
      </xdr:nvSpPr>
      <xdr:spPr>
        <a:xfrm>
          <a:off x="81915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362" name="Rectangle 389"/>
        <xdr:cNvSpPr>
          <a:spLocks/>
        </xdr:cNvSpPr>
      </xdr:nvSpPr>
      <xdr:spPr>
        <a:xfrm>
          <a:off x="72961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363" name="Rectangle 390"/>
        <xdr:cNvSpPr>
          <a:spLocks/>
        </xdr:cNvSpPr>
      </xdr:nvSpPr>
      <xdr:spPr>
        <a:xfrm>
          <a:off x="81915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364" name="Rectangle 391"/>
        <xdr:cNvSpPr>
          <a:spLocks/>
        </xdr:cNvSpPr>
      </xdr:nvSpPr>
      <xdr:spPr>
        <a:xfrm>
          <a:off x="72961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365" name="Rectangle 392"/>
        <xdr:cNvSpPr>
          <a:spLocks/>
        </xdr:cNvSpPr>
      </xdr:nvSpPr>
      <xdr:spPr>
        <a:xfrm>
          <a:off x="81915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123825</xdr:colOff>
      <xdr:row>152</xdr:row>
      <xdr:rowOff>0</xdr:rowOff>
    </xdr:from>
    <xdr:to>
      <xdr:col>8</xdr:col>
      <xdr:colOff>400050</xdr:colOff>
      <xdr:row>152</xdr:row>
      <xdr:rowOff>0</xdr:rowOff>
    </xdr:to>
    <xdr:sp>
      <xdr:nvSpPr>
        <xdr:cNvPr id="366" name="Rectangle 393"/>
        <xdr:cNvSpPr>
          <a:spLocks/>
        </xdr:cNvSpPr>
      </xdr:nvSpPr>
      <xdr:spPr>
        <a:xfrm>
          <a:off x="6467475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85725</xdr:colOff>
      <xdr:row>152</xdr:row>
      <xdr:rowOff>0</xdr:rowOff>
    </xdr:from>
    <xdr:to>
      <xdr:col>10</xdr:col>
      <xdr:colOff>409575</xdr:colOff>
      <xdr:row>152</xdr:row>
      <xdr:rowOff>0</xdr:rowOff>
    </xdr:to>
    <xdr:sp>
      <xdr:nvSpPr>
        <xdr:cNvPr id="367" name="Rectangle 394"/>
        <xdr:cNvSpPr>
          <a:spLocks/>
        </xdr:cNvSpPr>
      </xdr:nvSpPr>
      <xdr:spPr>
        <a:xfrm>
          <a:off x="7343775" y="28965525"/>
          <a:ext cx="323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152</xdr:row>
      <xdr:rowOff>0</xdr:rowOff>
    </xdr:from>
    <xdr:to>
      <xdr:col>8</xdr:col>
      <xdr:colOff>381000</xdr:colOff>
      <xdr:row>152</xdr:row>
      <xdr:rowOff>0</xdr:rowOff>
    </xdr:to>
    <xdr:sp>
      <xdr:nvSpPr>
        <xdr:cNvPr id="368" name="Rectangle 395"/>
        <xdr:cNvSpPr>
          <a:spLocks/>
        </xdr:cNvSpPr>
      </xdr:nvSpPr>
      <xdr:spPr>
        <a:xfrm>
          <a:off x="6381750" y="28965525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</a:p>
      </xdr:txBody>
    </xdr:sp>
    <xdr:clientData/>
  </xdr:twoCellAnchor>
  <xdr:twoCellAnchor>
    <xdr:from>
      <xdr:col>8</xdr:col>
      <xdr:colOff>123825</xdr:colOff>
      <xdr:row>152</xdr:row>
      <xdr:rowOff>0</xdr:rowOff>
    </xdr:from>
    <xdr:to>
      <xdr:col>8</xdr:col>
      <xdr:colOff>400050</xdr:colOff>
      <xdr:row>152</xdr:row>
      <xdr:rowOff>0</xdr:rowOff>
    </xdr:to>
    <xdr:sp>
      <xdr:nvSpPr>
        <xdr:cNvPr id="369" name="Rectangle 396"/>
        <xdr:cNvSpPr>
          <a:spLocks/>
        </xdr:cNvSpPr>
      </xdr:nvSpPr>
      <xdr:spPr>
        <a:xfrm>
          <a:off x="6467475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152</xdr:row>
      <xdr:rowOff>0</xdr:rowOff>
    </xdr:from>
    <xdr:to>
      <xdr:col>8</xdr:col>
      <xdr:colOff>381000</xdr:colOff>
      <xdr:row>152</xdr:row>
      <xdr:rowOff>0</xdr:rowOff>
    </xdr:to>
    <xdr:sp>
      <xdr:nvSpPr>
        <xdr:cNvPr id="370" name="Rectangle 397"/>
        <xdr:cNvSpPr>
          <a:spLocks/>
        </xdr:cNvSpPr>
      </xdr:nvSpPr>
      <xdr:spPr>
        <a:xfrm>
          <a:off x="6381750" y="28965525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</a:p>
      </xdr:txBody>
    </xdr:sp>
    <xdr:clientData/>
  </xdr:twoCellAnchor>
  <xdr:twoCellAnchor>
    <xdr:from>
      <xdr:col>8</xdr:col>
      <xdr:colOff>123825</xdr:colOff>
      <xdr:row>152</xdr:row>
      <xdr:rowOff>0</xdr:rowOff>
    </xdr:from>
    <xdr:to>
      <xdr:col>8</xdr:col>
      <xdr:colOff>400050</xdr:colOff>
      <xdr:row>152</xdr:row>
      <xdr:rowOff>0</xdr:rowOff>
    </xdr:to>
    <xdr:sp>
      <xdr:nvSpPr>
        <xdr:cNvPr id="371" name="Rectangle 398"/>
        <xdr:cNvSpPr>
          <a:spLocks/>
        </xdr:cNvSpPr>
      </xdr:nvSpPr>
      <xdr:spPr>
        <a:xfrm>
          <a:off x="6467475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152</xdr:row>
      <xdr:rowOff>0</xdr:rowOff>
    </xdr:from>
    <xdr:to>
      <xdr:col>8</xdr:col>
      <xdr:colOff>381000</xdr:colOff>
      <xdr:row>152</xdr:row>
      <xdr:rowOff>0</xdr:rowOff>
    </xdr:to>
    <xdr:sp>
      <xdr:nvSpPr>
        <xdr:cNvPr id="372" name="Rectangle 399"/>
        <xdr:cNvSpPr>
          <a:spLocks/>
        </xdr:cNvSpPr>
      </xdr:nvSpPr>
      <xdr:spPr>
        <a:xfrm>
          <a:off x="6381750" y="28965525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</a:p>
      </xdr:txBody>
    </xdr:sp>
    <xdr:clientData/>
  </xdr:twoCellAnchor>
  <xdr:twoCellAnchor>
    <xdr:from>
      <xdr:col>8</xdr:col>
      <xdr:colOff>123825</xdr:colOff>
      <xdr:row>152</xdr:row>
      <xdr:rowOff>0</xdr:rowOff>
    </xdr:from>
    <xdr:to>
      <xdr:col>8</xdr:col>
      <xdr:colOff>400050</xdr:colOff>
      <xdr:row>152</xdr:row>
      <xdr:rowOff>0</xdr:rowOff>
    </xdr:to>
    <xdr:sp>
      <xdr:nvSpPr>
        <xdr:cNvPr id="373" name="Rectangle 400"/>
        <xdr:cNvSpPr>
          <a:spLocks/>
        </xdr:cNvSpPr>
      </xdr:nvSpPr>
      <xdr:spPr>
        <a:xfrm>
          <a:off x="6467475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85725</xdr:colOff>
      <xdr:row>152</xdr:row>
      <xdr:rowOff>0</xdr:rowOff>
    </xdr:from>
    <xdr:to>
      <xdr:col>10</xdr:col>
      <xdr:colOff>409575</xdr:colOff>
      <xdr:row>152</xdr:row>
      <xdr:rowOff>0</xdr:rowOff>
    </xdr:to>
    <xdr:sp>
      <xdr:nvSpPr>
        <xdr:cNvPr id="374" name="Rectangle 401"/>
        <xdr:cNvSpPr>
          <a:spLocks/>
        </xdr:cNvSpPr>
      </xdr:nvSpPr>
      <xdr:spPr>
        <a:xfrm>
          <a:off x="7343775" y="28965525"/>
          <a:ext cx="323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152</xdr:row>
      <xdr:rowOff>0</xdr:rowOff>
    </xdr:from>
    <xdr:to>
      <xdr:col>8</xdr:col>
      <xdr:colOff>381000</xdr:colOff>
      <xdr:row>152</xdr:row>
      <xdr:rowOff>0</xdr:rowOff>
    </xdr:to>
    <xdr:sp>
      <xdr:nvSpPr>
        <xdr:cNvPr id="375" name="Rectangle 402"/>
        <xdr:cNvSpPr>
          <a:spLocks/>
        </xdr:cNvSpPr>
      </xdr:nvSpPr>
      <xdr:spPr>
        <a:xfrm>
          <a:off x="6381750" y="28965525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</a:p>
      </xdr:txBody>
    </xdr:sp>
    <xdr:clientData/>
  </xdr:twoCellAnchor>
  <xdr:twoCellAnchor>
    <xdr:from>
      <xdr:col>10</xdr:col>
      <xdr:colOff>38100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376" name="Rectangle 403"/>
        <xdr:cNvSpPr>
          <a:spLocks/>
        </xdr:cNvSpPr>
      </xdr:nvSpPr>
      <xdr:spPr>
        <a:xfrm>
          <a:off x="72961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377" name="Rectangle 404"/>
        <xdr:cNvSpPr>
          <a:spLocks/>
        </xdr:cNvSpPr>
      </xdr:nvSpPr>
      <xdr:spPr>
        <a:xfrm>
          <a:off x="81915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378" name="Rectangle 405"/>
        <xdr:cNvSpPr>
          <a:spLocks/>
        </xdr:cNvSpPr>
      </xdr:nvSpPr>
      <xdr:spPr>
        <a:xfrm>
          <a:off x="72961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379" name="Rectangle 406"/>
        <xdr:cNvSpPr>
          <a:spLocks/>
        </xdr:cNvSpPr>
      </xdr:nvSpPr>
      <xdr:spPr>
        <a:xfrm>
          <a:off x="81915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152</xdr:row>
      <xdr:rowOff>0</xdr:rowOff>
    </xdr:from>
    <xdr:to>
      <xdr:col>8</xdr:col>
      <xdr:colOff>314325</xdr:colOff>
      <xdr:row>152</xdr:row>
      <xdr:rowOff>0</xdr:rowOff>
    </xdr:to>
    <xdr:sp>
      <xdr:nvSpPr>
        <xdr:cNvPr id="380" name="Rectangle 407"/>
        <xdr:cNvSpPr>
          <a:spLocks/>
        </xdr:cNvSpPr>
      </xdr:nvSpPr>
      <xdr:spPr>
        <a:xfrm>
          <a:off x="63817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19050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381" name="Rectangle 408"/>
        <xdr:cNvSpPr>
          <a:spLocks/>
        </xdr:cNvSpPr>
      </xdr:nvSpPr>
      <xdr:spPr>
        <a:xfrm>
          <a:off x="72771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38100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382" name="Rectangle 409"/>
        <xdr:cNvSpPr>
          <a:spLocks/>
        </xdr:cNvSpPr>
      </xdr:nvSpPr>
      <xdr:spPr>
        <a:xfrm>
          <a:off x="82105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152</xdr:row>
      <xdr:rowOff>0</xdr:rowOff>
    </xdr:from>
    <xdr:to>
      <xdr:col>8</xdr:col>
      <xdr:colOff>314325</xdr:colOff>
      <xdr:row>152</xdr:row>
      <xdr:rowOff>0</xdr:rowOff>
    </xdr:to>
    <xdr:sp>
      <xdr:nvSpPr>
        <xdr:cNvPr id="383" name="Rectangle 410"/>
        <xdr:cNvSpPr>
          <a:spLocks/>
        </xdr:cNvSpPr>
      </xdr:nvSpPr>
      <xdr:spPr>
        <a:xfrm>
          <a:off x="63817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19050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384" name="Rectangle 411"/>
        <xdr:cNvSpPr>
          <a:spLocks/>
        </xdr:cNvSpPr>
      </xdr:nvSpPr>
      <xdr:spPr>
        <a:xfrm>
          <a:off x="72771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38100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385" name="Rectangle 412"/>
        <xdr:cNvSpPr>
          <a:spLocks/>
        </xdr:cNvSpPr>
      </xdr:nvSpPr>
      <xdr:spPr>
        <a:xfrm>
          <a:off x="82105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6</xdr:col>
      <xdr:colOff>38100</xdr:colOff>
      <xdr:row>152</xdr:row>
      <xdr:rowOff>0</xdr:rowOff>
    </xdr:from>
    <xdr:to>
      <xdr:col>6</xdr:col>
      <xdr:colOff>314325</xdr:colOff>
      <xdr:row>152</xdr:row>
      <xdr:rowOff>0</xdr:rowOff>
    </xdr:to>
    <xdr:sp>
      <xdr:nvSpPr>
        <xdr:cNvPr id="386" name="Rectangle 413"/>
        <xdr:cNvSpPr>
          <a:spLocks/>
        </xdr:cNvSpPr>
      </xdr:nvSpPr>
      <xdr:spPr>
        <a:xfrm>
          <a:off x="54673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19050</xdr:colOff>
      <xdr:row>152</xdr:row>
      <xdr:rowOff>0</xdr:rowOff>
    </xdr:from>
    <xdr:to>
      <xdr:col>8</xdr:col>
      <xdr:colOff>314325</xdr:colOff>
      <xdr:row>152</xdr:row>
      <xdr:rowOff>0</xdr:rowOff>
    </xdr:to>
    <xdr:sp>
      <xdr:nvSpPr>
        <xdr:cNvPr id="387" name="Rectangle 414"/>
        <xdr:cNvSpPr>
          <a:spLocks/>
        </xdr:cNvSpPr>
      </xdr:nvSpPr>
      <xdr:spPr>
        <a:xfrm>
          <a:off x="63627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388" name="Rectangle 415"/>
        <xdr:cNvSpPr>
          <a:spLocks/>
        </xdr:cNvSpPr>
      </xdr:nvSpPr>
      <xdr:spPr>
        <a:xfrm>
          <a:off x="72961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389" name="Rectangle 416"/>
        <xdr:cNvSpPr>
          <a:spLocks/>
        </xdr:cNvSpPr>
      </xdr:nvSpPr>
      <xdr:spPr>
        <a:xfrm>
          <a:off x="81915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6</xdr:col>
      <xdr:colOff>38100</xdr:colOff>
      <xdr:row>152</xdr:row>
      <xdr:rowOff>0</xdr:rowOff>
    </xdr:from>
    <xdr:to>
      <xdr:col>6</xdr:col>
      <xdr:colOff>314325</xdr:colOff>
      <xdr:row>152</xdr:row>
      <xdr:rowOff>0</xdr:rowOff>
    </xdr:to>
    <xdr:sp>
      <xdr:nvSpPr>
        <xdr:cNvPr id="390" name="Rectangle 417"/>
        <xdr:cNvSpPr>
          <a:spLocks/>
        </xdr:cNvSpPr>
      </xdr:nvSpPr>
      <xdr:spPr>
        <a:xfrm>
          <a:off x="54673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391" name="Rectangle 418"/>
        <xdr:cNvSpPr>
          <a:spLocks/>
        </xdr:cNvSpPr>
      </xdr:nvSpPr>
      <xdr:spPr>
        <a:xfrm>
          <a:off x="81915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6</xdr:col>
      <xdr:colOff>19050</xdr:colOff>
      <xdr:row>152</xdr:row>
      <xdr:rowOff>0</xdr:rowOff>
    </xdr:from>
    <xdr:to>
      <xdr:col>6</xdr:col>
      <xdr:colOff>314325</xdr:colOff>
      <xdr:row>152</xdr:row>
      <xdr:rowOff>0</xdr:rowOff>
    </xdr:to>
    <xdr:sp>
      <xdr:nvSpPr>
        <xdr:cNvPr id="392" name="Rectangle 419"/>
        <xdr:cNvSpPr>
          <a:spLocks/>
        </xdr:cNvSpPr>
      </xdr:nvSpPr>
      <xdr:spPr>
        <a:xfrm>
          <a:off x="54483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152</xdr:row>
      <xdr:rowOff>0</xdr:rowOff>
    </xdr:from>
    <xdr:to>
      <xdr:col>8</xdr:col>
      <xdr:colOff>314325</xdr:colOff>
      <xdr:row>152</xdr:row>
      <xdr:rowOff>0</xdr:rowOff>
    </xdr:to>
    <xdr:sp>
      <xdr:nvSpPr>
        <xdr:cNvPr id="393" name="Rectangle 420"/>
        <xdr:cNvSpPr>
          <a:spLocks/>
        </xdr:cNvSpPr>
      </xdr:nvSpPr>
      <xdr:spPr>
        <a:xfrm>
          <a:off x="63817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394" name="Rectangle 421"/>
        <xdr:cNvSpPr>
          <a:spLocks/>
        </xdr:cNvSpPr>
      </xdr:nvSpPr>
      <xdr:spPr>
        <a:xfrm>
          <a:off x="72961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395" name="Rectangle 422"/>
        <xdr:cNvSpPr>
          <a:spLocks/>
        </xdr:cNvSpPr>
      </xdr:nvSpPr>
      <xdr:spPr>
        <a:xfrm>
          <a:off x="81915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152</xdr:row>
      <xdr:rowOff>0</xdr:rowOff>
    </xdr:from>
    <xdr:to>
      <xdr:col>8</xdr:col>
      <xdr:colOff>314325</xdr:colOff>
      <xdr:row>152</xdr:row>
      <xdr:rowOff>0</xdr:rowOff>
    </xdr:to>
    <xdr:sp>
      <xdr:nvSpPr>
        <xdr:cNvPr id="396" name="Rectangle 423"/>
        <xdr:cNvSpPr>
          <a:spLocks/>
        </xdr:cNvSpPr>
      </xdr:nvSpPr>
      <xdr:spPr>
        <a:xfrm>
          <a:off x="63817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19050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397" name="Rectangle 424"/>
        <xdr:cNvSpPr>
          <a:spLocks/>
        </xdr:cNvSpPr>
      </xdr:nvSpPr>
      <xdr:spPr>
        <a:xfrm>
          <a:off x="72771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38100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398" name="Rectangle 425"/>
        <xdr:cNvSpPr>
          <a:spLocks/>
        </xdr:cNvSpPr>
      </xdr:nvSpPr>
      <xdr:spPr>
        <a:xfrm>
          <a:off x="82105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152</xdr:row>
      <xdr:rowOff>0</xdr:rowOff>
    </xdr:from>
    <xdr:to>
      <xdr:col>8</xdr:col>
      <xdr:colOff>314325</xdr:colOff>
      <xdr:row>152</xdr:row>
      <xdr:rowOff>0</xdr:rowOff>
    </xdr:to>
    <xdr:sp>
      <xdr:nvSpPr>
        <xdr:cNvPr id="399" name="Rectangle 426"/>
        <xdr:cNvSpPr>
          <a:spLocks/>
        </xdr:cNvSpPr>
      </xdr:nvSpPr>
      <xdr:spPr>
        <a:xfrm>
          <a:off x="63817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19050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400" name="Rectangle 427"/>
        <xdr:cNvSpPr>
          <a:spLocks/>
        </xdr:cNvSpPr>
      </xdr:nvSpPr>
      <xdr:spPr>
        <a:xfrm>
          <a:off x="72771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38100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401" name="Rectangle 428"/>
        <xdr:cNvSpPr>
          <a:spLocks/>
        </xdr:cNvSpPr>
      </xdr:nvSpPr>
      <xdr:spPr>
        <a:xfrm>
          <a:off x="82105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402" name="Rectangle 429"/>
        <xdr:cNvSpPr>
          <a:spLocks/>
        </xdr:cNvSpPr>
      </xdr:nvSpPr>
      <xdr:spPr>
        <a:xfrm>
          <a:off x="72961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403" name="Rectangle 430"/>
        <xdr:cNvSpPr>
          <a:spLocks/>
        </xdr:cNvSpPr>
      </xdr:nvSpPr>
      <xdr:spPr>
        <a:xfrm>
          <a:off x="81915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404" name="Rectangle 431"/>
        <xdr:cNvSpPr>
          <a:spLocks/>
        </xdr:cNvSpPr>
      </xdr:nvSpPr>
      <xdr:spPr>
        <a:xfrm>
          <a:off x="72961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405" name="Rectangle 432"/>
        <xdr:cNvSpPr>
          <a:spLocks/>
        </xdr:cNvSpPr>
      </xdr:nvSpPr>
      <xdr:spPr>
        <a:xfrm>
          <a:off x="81915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406" name="Rectangle 433"/>
        <xdr:cNvSpPr>
          <a:spLocks/>
        </xdr:cNvSpPr>
      </xdr:nvSpPr>
      <xdr:spPr>
        <a:xfrm>
          <a:off x="72961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407" name="Rectangle 434"/>
        <xdr:cNvSpPr>
          <a:spLocks/>
        </xdr:cNvSpPr>
      </xdr:nvSpPr>
      <xdr:spPr>
        <a:xfrm>
          <a:off x="81915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123825</xdr:colOff>
      <xdr:row>152</xdr:row>
      <xdr:rowOff>0</xdr:rowOff>
    </xdr:from>
    <xdr:to>
      <xdr:col>8</xdr:col>
      <xdr:colOff>400050</xdr:colOff>
      <xdr:row>152</xdr:row>
      <xdr:rowOff>0</xdr:rowOff>
    </xdr:to>
    <xdr:sp>
      <xdr:nvSpPr>
        <xdr:cNvPr id="408" name="Rectangle 435"/>
        <xdr:cNvSpPr>
          <a:spLocks/>
        </xdr:cNvSpPr>
      </xdr:nvSpPr>
      <xdr:spPr>
        <a:xfrm>
          <a:off x="6467475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85725</xdr:colOff>
      <xdr:row>152</xdr:row>
      <xdr:rowOff>0</xdr:rowOff>
    </xdr:from>
    <xdr:to>
      <xdr:col>10</xdr:col>
      <xdr:colOff>409575</xdr:colOff>
      <xdr:row>152</xdr:row>
      <xdr:rowOff>0</xdr:rowOff>
    </xdr:to>
    <xdr:sp>
      <xdr:nvSpPr>
        <xdr:cNvPr id="409" name="Rectangle 436"/>
        <xdr:cNvSpPr>
          <a:spLocks/>
        </xdr:cNvSpPr>
      </xdr:nvSpPr>
      <xdr:spPr>
        <a:xfrm>
          <a:off x="7343775" y="28965525"/>
          <a:ext cx="323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152</xdr:row>
      <xdr:rowOff>0</xdr:rowOff>
    </xdr:from>
    <xdr:to>
      <xdr:col>8</xdr:col>
      <xdr:colOff>381000</xdr:colOff>
      <xdr:row>152</xdr:row>
      <xdr:rowOff>0</xdr:rowOff>
    </xdr:to>
    <xdr:sp>
      <xdr:nvSpPr>
        <xdr:cNvPr id="410" name="Rectangle 437"/>
        <xdr:cNvSpPr>
          <a:spLocks/>
        </xdr:cNvSpPr>
      </xdr:nvSpPr>
      <xdr:spPr>
        <a:xfrm>
          <a:off x="6381750" y="28965525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</a:p>
      </xdr:txBody>
    </xdr:sp>
    <xdr:clientData/>
  </xdr:twoCellAnchor>
  <xdr:twoCellAnchor>
    <xdr:from>
      <xdr:col>8</xdr:col>
      <xdr:colOff>123825</xdr:colOff>
      <xdr:row>152</xdr:row>
      <xdr:rowOff>0</xdr:rowOff>
    </xdr:from>
    <xdr:to>
      <xdr:col>8</xdr:col>
      <xdr:colOff>400050</xdr:colOff>
      <xdr:row>152</xdr:row>
      <xdr:rowOff>0</xdr:rowOff>
    </xdr:to>
    <xdr:sp>
      <xdr:nvSpPr>
        <xdr:cNvPr id="411" name="Rectangle 438"/>
        <xdr:cNvSpPr>
          <a:spLocks/>
        </xdr:cNvSpPr>
      </xdr:nvSpPr>
      <xdr:spPr>
        <a:xfrm>
          <a:off x="6467475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152</xdr:row>
      <xdr:rowOff>0</xdr:rowOff>
    </xdr:from>
    <xdr:to>
      <xdr:col>8</xdr:col>
      <xdr:colOff>381000</xdr:colOff>
      <xdr:row>152</xdr:row>
      <xdr:rowOff>0</xdr:rowOff>
    </xdr:to>
    <xdr:sp>
      <xdr:nvSpPr>
        <xdr:cNvPr id="412" name="Rectangle 439"/>
        <xdr:cNvSpPr>
          <a:spLocks/>
        </xdr:cNvSpPr>
      </xdr:nvSpPr>
      <xdr:spPr>
        <a:xfrm>
          <a:off x="6381750" y="28965525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</a:p>
      </xdr:txBody>
    </xdr:sp>
    <xdr:clientData/>
  </xdr:twoCellAnchor>
  <xdr:twoCellAnchor>
    <xdr:from>
      <xdr:col>8</xdr:col>
      <xdr:colOff>123825</xdr:colOff>
      <xdr:row>152</xdr:row>
      <xdr:rowOff>0</xdr:rowOff>
    </xdr:from>
    <xdr:to>
      <xdr:col>8</xdr:col>
      <xdr:colOff>400050</xdr:colOff>
      <xdr:row>152</xdr:row>
      <xdr:rowOff>0</xdr:rowOff>
    </xdr:to>
    <xdr:sp>
      <xdr:nvSpPr>
        <xdr:cNvPr id="413" name="Rectangle 440"/>
        <xdr:cNvSpPr>
          <a:spLocks/>
        </xdr:cNvSpPr>
      </xdr:nvSpPr>
      <xdr:spPr>
        <a:xfrm>
          <a:off x="6467475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152</xdr:row>
      <xdr:rowOff>0</xdr:rowOff>
    </xdr:from>
    <xdr:to>
      <xdr:col>8</xdr:col>
      <xdr:colOff>381000</xdr:colOff>
      <xdr:row>152</xdr:row>
      <xdr:rowOff>0</xdr:rowOff>
    </xdr:to>
    <xdr:sp>
      <xdr:nvSpPr>
        <xdr:cNvPr id="414" name="Rectangle 441"/>
        <xdr:cNvSpPr>
          <a:spLocks/>
        </xdr:cNvSpPr>
      </xdr:nvSpPr>
      <xdr:spPr>
        <a:xfrm>
          <a:off x="6381750" y="28965525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</a:p>
      </xdr:txBody>
    </xdr:sp>
    <xdr:clientData/>
  </xdr:twoCellAnchor>
  <xdr:twoCellAnchor>
    <xdr:from>
      <xdr:col>8</xdr:col>
      <xdr:colOff>123825</xdr:colOff>
      <xdr:row>152</xdr:row>
      <xdr:rowOff>0</xdr:rowOff>
    </xdr:from>
    <xdr:to>
      <xdr:col>8</xdr:col>
      <xdr:colOff>400050</xdr:colOff>
      <xdr:row>152</xdr:row>
      <xdr:rowOff>0</xdr:rowOff>
    </xdr:to>
    <xdr:sp>
      <xdr:nvSpPr>
        <xdr:cNvPr id="415" name="Rectangle 442"/>
        <xdr:cNvSpPr>
          <a:spLocks/>
        </xdr:cNvSpPr>
      </xdr:nvSpPr>
      <xdr:spPr>
        <a:xfrm>
          <a:off x="6467475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85725</xdr:colOff>
      <xdr:row>152</xdr:row>
      <xdr:rowOff>0</xdr:rowOff>
    </xdr:from>
    <xdr:to>
      <xdr:col>10</xdr:col>
      <xdr:colOff>409575</xdr:colOff>
      <xdr:row>152</xdr:row>
      <xdr:rowOff>0</xdr:rowOff>
    </xdr:to>
    <xdr:sp>
      <xdr:nvSpPr>
        <xdr:cNvPr id="416" name="Rectangle 443"/>
        <xdr:cNvSpPr>
          <a:spLocks/>
        </xdr:cNvSpPr>
      </xdr:nvSpPr>
      <xdr:spPr>
        <a:xfrm>
          <a:off x="7343775" y="28965525"/>
          <a:ext cx="323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152</xdr:row>
      <xdr:rowOff>0</xdr:rowOff>
    </xdr:from>
    <xdr:to>
      <xdr:col>8</xdr:col>
      <xdr:colOff>381000</xdr:colOff>
      <xdr:row>152</xdr:row>
      <xdr:rowOff>0</xdr:rowOff>
    </xdr:to>
    <xdr:sp>
      <xdr:nvSpPr>
        <xdr:cNvPr id="417" name="Rectangle 444"/>
        <xdr:cNvSpPr>
          <a:spLocks/>
        </xdr:cNvSpPr>
      </xdr:nvSpPr>
      <xdr:spPr>
        <a:xfrm>
          <a:off x="6381750" y="28965525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</a:p>
      </xdr:txBody>
    </xdr:sp>
    <xdr:clientData/>
  </xdr:twoCellAnchor>
  <xdr:twoCellAnchor>
    <xdr:from>
      <xdr:col>10</xdr:col>
      <xdr:colOff>38100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418" name="Rectangle 445"/>
        <xdr:cNvSpPr>
          <a:spLocks/>
        </xdr:cNvSpPr>
      </xdr:nvSpPr>
      <xdr:spPr>
        <a:xfrm>
          <a:off x="72961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419" name="Rectangle 446"/>
        <xdr:cNvSpPr>
          <a:spLocks/>
        </xdr:cNvSpPr>
      </xdr:nvSpPr>
      <xdr:spPr>
        <a:xfrm>
          <a:off x="81915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420" name="Rectangle 447"/>
        <xdr:cNvSpPr>
          <a:spLocks/>
        </xdr:cNvSpPr>
      </xdr:nvSpPr>
      <xdr:spPr>
        <a:xfrm>
          <a:off x="72961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421" name="Rectangle 448"/>
        <xdr:cNvSpPr>
          <a:spLocks/>
        </xdr:cNvSpPr>
      </xdr:nvSpPr>
      <xdr:spPr>
        <a:xfrm>
          <a:off x="81915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152</xdr:row>
      <xdr:rowOff>0</xdr:rowOff>
    </xdr:from>
    <xdr:to>
      <xdr:col>8</xdr:col>
      <xdr:colOff>314325</xdr:colOff>
      <xdr:row>152</xdr:row>
      <xdr:rowOff>0</xdr:rowOff>
    </xdr:to>
    <xdr:sp>
      <xdr:nvSpPr>
        <xdr:cNvPr id="422" name="Rectangle 449"/>
        <xdr:cNvSpPr>
          <a:spLocks/>
        </xdr:cNvSpPr>
      </xdr:nvSpPr>
      <xdr:spPr>
        <a:xfrm>
          <a:off x="63817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19050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423" name="Rectangle 450"/>
        <xdr:cNvSpPr>
          <a:spLocks/>
        </xdr:cNvSpPr>
      </xdr:nvSpPr>
      <xdr:spPr>
        <a:xfrm>
          <a:off x="72771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38100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424" name="Rectangle 451"/>
        <xdr:cNvSpPr>
          <a:spLocks/>
        </xdr:cNvSpPr>
      </xdr:nvSpPr>
      <xdr:spPr>
        <a:xfrm>
          <a:off x="82105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152</xdr:row>
      <xdr:rowOff>0</xdr:rowOff>
    </xdr:from>
    <xdr:to>
      <xdr:col>8</xdr:col>
      <xdr:colOff>314325</xdr:colOff>
      <xdr:row>152</xdr:row>
      <xdr:rowOff>0</xdr:rowOff>
    </xdr:to>
    <xdr:sp>
      <xdr:nvSpPr>
        <xdr:cNvPr id="425" name="Rectangle 452"/>
        <xdr:cNvSpPr>
          <a:spLocks/>
        </xdr:cNvSpPr>
      </xdr:nvSpPr>
      <xdr:spPr>
        <a:xfrm>
          <a:off x="63817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19050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426" name="Rectangle 453"/>
        <xdr:cNvSpPr>
          <a:spLocks/>
        </xdr:cNvSpPr>
      </xdr:nvSpPr>
      <xdr:spPr>
        <a:xfrm>
          <a:off x="72771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38100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427" name="Rectangle 454"/>
        <xdr:cNvSpPr>
          <a:spLocks/>
        </xdr:cNvSpPr>
      </xdr:nvSpPr>
      <xdr:spPr>
        <a:xfrm>
          <a:off x="82105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6</xdr:col>
      <xdr:colOff>38100</xdr:colOff>
      <xdr:row>152</xdr:row>
      <xdr:rowOff>0</xdr:rowOff>
    </xdr:from>
    <xdr:to>
      <xdr:col>6</xdr:col>
      <xdr:colOff>314325</xdr:colOff>
      <xdr:row>152</xdr:row>
      <xdr:rowOff>0</xdr:rowOff>
    </xdr:to>
    <xdr:sp>
      <xdr:nvSpPr>
        <xdr:cNvPr id="428" name="Rectangle 455"/>
        <xdr:cNvSpPr>
          <a:spLocks/>
        </xdr:cNvSpPr>
      </xdr:nvSpPr>
      <xdr:spPr>
        <a:xfrm>
          <a:off x="54673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19050</xdr:colOff>
      <xdr:row>152</xdr:row>
      <xdr:rowOff>0</xdr:rowOff>
    </xdr:from>
    <xdr:to>
      <xdr:col>8</xdr:col>
      <xdr:colOff>314325</xdr:colOff>
      <xdr:row>152</xdr:row>
      <xdr:rowOff>0</xdr:rowOff>
    </xdr:to>
    <xdr:sp>
      <xdr:nvSpPr>
        <xdr:cNvPr id="429" name="Rectangle 456"/>
        <xdr:cNvSpPr>
          <a:spLocks/>
        </xdr:cNvSpPr>
      </xdr:nvSpPr>
      <xdr:spPr>
        <a:xfrm>
          <a:off x="63627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430" name="Rectangle 457"/>
        <xdr:cNvSpPr>
          <a:spLocks/>
        </xdr:cNvSpPr>
      </xdr:nvSpPr>
      <xdr:spPr>
        <a:xfrm>
          <a:off x="72961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431" name="Rectangle 458"/>
        <xdr:cNvSpPr>
          <a:spLocks/>
        </xdr:cNvSpPr>
      </xdr:nvSpPr>
      <xdr:spPr>
        <a:xfrm>
          <a:off x="81915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6</xdr:col>
      <xdr:colOff>38100</xdr:colOff>
      <xdr:row>152</xdr:row>
      <xdr:rowOff>0</xdr:rowOff>
    </xdr:from>
    <xdr:to>
      <xdr:col>6</xdr:col>
      <xdr:colOff>314325</xdr:colOff>
      <xdr:row>152</xdr:row>
      <xdr:rowOff>0</xdr:rowOff>
    </xdr:to>
    <xdr:sp>
      <xdr:nvSpPr>
        <xdr:cNvPr id="432" name="Rectangle 459"/>
        <xdr:cNvSpPr>
          <a:spLocks/>
        </xdr:cNvSpPr>
      </xdr:nvSpPr>
      <xdr:spPr>
        <a:xfrm>
          <a:off x="54673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6</xdr:col>
      <xdr:colOff>19050</xdr:colOff>
      <xdr:row>152</xdr:row>
      <xdr:rowOff>0</xdr:rowOff>
    </xdr:from>
    <xdr:to>
      <xdr:col>6</xdr:col>
      <xdr:colOff>314325</xdr:colOff>
      <xdr:row>152</xdr:row>
      <xdr:rowOff>0</xdr:rowOff>
    </xdr:to>
    <xdr:sp>
      <xdr:nvSpPr>
        <xdr:cNvPr id="433" name="Rectangle 460"/>
        <xdr:cNvSpPr>
          <a:spLocks/>
        </xdr:cNvSpPr>
      </xdr:nvSpPr>
      <xdr:spPr>
        <a:xfrm>
          <a:off x="54483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38100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434" name="Rectangle 461"/>
        <xdr:cNvSpPr>
          <a:spLocks/>
        </xdr:cNvSpPr>
      </xdr:nvSpPr>
      <xdr:spPr>
        <a:xfrm>
          <a:off x="82105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6</xdr:col>
      <xdr:colOff>19050</xdr:colOff>
      <xdr:row>152</xdr:row>
      <xdr:rowOff>0</xdr:rowOff>
    </xdr:from>
    <xdr:to>
      <xdr:col>6</xdr:col>
      <xdr:colOff>314325</xdr:colOff>
      <xdr:row>152</xdr:row>
      <xdr:rowOff>0</xdr:rowOff>
    </xdr:to>
    <xdr:sp>
      <xdr:nvSpPr>
        <xdr:cNvPr id="435" name="Rectangle 462"/>
        <xdr:cNvSpPr>
          <a:spLocks/>
        </xdr:cNvSpPr>
      </xdr:nvSpPr>
      <xdr:spPr>
        <a:xfrm>
          <a:off x="54483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152</xdr:row>
      <xdr:rowOff>0</xdr:rowOff>
    </xdr:from>
    <xdr:to>
      <xdr:col>8</xdr:col>
      <xdr:colOff>314325</xdr:colOff>
      <xdr:row>152</xdr:row>
      <xdr:rowOff>0</xdr:rowOff>
    </xdr:to>
    <xdr:sp>
      <xdr:nvSpPr>
        <xdr:cNvPr id="436" name="Rectangle 463"/>
        <xdr:cNvSpPr>
          <a:spLocks/>
        </xdr:cNvSpPr>
      </xdr:nvSpPr>
      <xdr:spPr>
        <a:xfrm>
          <a:off x="63817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437" name="Rectangle 464"/>
        <xdr:cNvSpPr>
          <a:spLocks/>
        </xdr:cNvSpPr>
      </xdr:nvSpPr>
      <xdr:spPr>
        <a:xfrm>
          <a:off x="72961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438" name="Rectangle 465"/>
        <xdr:cNvSpPr>
          <a:spLocks/>
        </xdr:cNvSpPr>
      </xdr:nvSpPr>
      <xdr:spPr>
        <a:xfrm>
          <a:off x="81915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152</xdr:row>
      <xdr:rowOff>0</xdr:rowOff>
    </xdr:from>
    <xdr:to>
      <xdr:col>8</xdr:col>
      <xdr:colOff>314325</xdr:colOff>
      <xdr:row>152</xdr:row>
      <xdr:rowOff>0</xdr:rowOff>
    </xdr:to>
    <xdr:sp>
      <xdr:nvSpPr>
        <xdr:cNvPr id="439" name="Rectangle 466"/>
        <xdr:cNvSpPr>
          <a:spLocks/>
        </xdr:cNvSpPr>
      </xdr:nvSpPr>
      <xdr:spPr>
        <a:xfrm>
          <a:off x="63817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19050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440" name="Rectangle 467"/>
        <xdr:cNvSpPr>
          <a:spLocks/>
        </xdr:cNvSpPr>
      </xdr:nvSpPr>
      <xdr:spPr>
        <a:xfrm>
          <a:off x="72771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38100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441" name="Rectangle 468"/>
        <xdr:cNvSpPr>
          <a:spLocks/>
        </xdr:cNvSpPr>
      </xdr:nvSpPr>
      <xdr:spPr>
        <a:xfrm>
          <a:off x="82105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152</xdr:row>
      <xdr:rowOff>0</xdr:rowOff>
    </xdr:from>
    <xdr:to>
      <xdr:col>8</xdr:col>
      <xdr:colOff>314325</xdr:colOff>
      <xdr:row>152</xdr:row>
      <xdr:rowOff>0</xdr:rowOff>
    </xdr:to>
    <xdr:sp>
      <xdr:nvSpPr>
        <xdr:cNvPr id="442" name="Rectangle 469"/>
        <xdr:cNvSpPr>
          <a:spLocks/>
        </xdr:cNvSpPr>
      </xdr:nvSpPr>
      <xdr:spPr>
        <a:xfrm>
          <a:off x="63817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19050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443" name="Rectangle 470"/>
        <xdr:cNvSpPr>
          <a:spLocks/>
        </xdr:cNvSpPr>
      </xdr:nvSpPr>
      <xdr:spPr>
        <a:xfrm>
          <a:off x="72771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38100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444" name="Rectangle 471"/>
        <xdr:cNvSpPr>
          <a:spLocks/>
        </xdr:cNvSpPr>
      </xdr:nvSpPr>
      <xdr:spPr>
        <a:xfrm>
          <a:off x="82105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445" name="Rectangle 472"/>
        <xdr:cNvSpPr>
          <a:spLocks/>
        </xdr:cNvSpPr>
      </xdr:nvSpPr>
      <xdr:spPr>
        <a:xfrm>
          <a:off x="72961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446" name="Rectangle 473"/>
        <xdr:cNvSpPr>
          <a:spLocks/>
        </xdr:cNvSpPr>
      </xdr:nvSpPr>
      <xdr:spPr>
        <a:xfrm>
          <a:off x="81915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447" name="Rectangle 474"/>
        <xdr:cNvSpPr>
          <a:spLocks/>
        </xdr:cNvSpPr>
      </xdr:nvSpPr>
      <xdr:spPr>
        <a:xfrm>
          <a:off x="72961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448" name="Rectangle 475"/>
        <xdr:cNvSpPr>
          <a:spLocks/>
        </xdr:cNvSpPr>
      </xdr:nvSpPr>
      <xdr:spPr>
        <a:xfrm>
          <a:off x="81915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449" name="Rectangle 476"/>
        <xdr:cNvSpPr>
          <a:spLocks/>
        </xdr:cNvSpPr>
      </xdr:nvSpPr>
      <xdr:spPr>
        <a:xfrm>
          <a:off x="72961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450" name="Rectangle 477"/>
        <xdr:cNvSpPr>
          <a:spLocks/>
        </xdr:cNvSpPr>
      </xdr:nvSpPr>
      <xdr:spPr>
        <a:xfrm>
          <a:off x="81915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123825</xdr:colOff>
      <xdr:row>152</xdr:row>
      <xdr:rowOff>0</xdr:rowOff>
    </xdr:from>
    <xdr:to>
      <xdr:col>8</xdr:col>
      <xdr:colOff>400050</xdr:colOff>
      <xdr:row>152</xdr:row>
      <xdr:rowOff>0</xdr:rowOff>
    </xdr:to>
    <xdr:sp>
      <xdr:nvSpPr>
        <xdr:cNvPr id="451" name="Rectangle 478"/>
        <xdr:cNvSpPr>
          <a:spLocks/>
        </xdr:cNvSpPr>
      </xdr:nvSpPr>
      <xdr:spPr>
        <a:xfrm>
          <a:off x="6467475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85725</xdr:colOff>
      <xdr:row>152</xdr:row>
      <xdr:rowOff>0</xdr:rowOff>
    </xdr:from>
    <xdr:to>
      <xdr:col>10</xdr:col>
      <xdr:colOff>409575</xdr:colOff>
      <xdr:row>152</xdr:row>
      <xdr:rowOff>0</xdr:rowOff>
    </xdr:to>
    <xdr:sp>
      <xdr:nvSpPr>
        <xdr:cNvPr id="452" name="Rectangle 479"/>
        <xdr:cNvSpPr>
          <a:spLocks/>
        </xdr:cNvSpPr>
      </xdr:nvSpPr>
      <xdr:spPr>
        <a:xfrm>
          <a:off x="7343775" y="28965525"/>
          <a:ext cx="323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152</xdr:row>
      <xdr:rowOff>0</xdr:rowOff>
    </xdr:from>
    <xdr:to>
      <xdr:col>8</xdr:col>
      <xdr:colOff>381000</xdr:colOff>
      <xdr:row>152</xdr:row>
      <xdr:rowOff>0</xdr:rowOff>
    </xdr:to>
    <xdr:sp>
      <xdr:nvSpPr>
        <xdr:cNvPr id="453" name="Rectangle 480"/>
        <xdr:cNvSpPr>
          <a:spLocks/>
        </xdr:cNvSpPr>
      </xdr:nvSpPr>
      <xdr:spPr>
        <a:xfrm>
          <a:off x="6381750" y="28965525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</a:p>
      </xdr:txBody>
    </xdr:sp>
    <xdr:clientData/>
  </xdr:twoCellAnchor>
  <xdr:twoCellAnchor>
    <xdr:from>
      <xdr:col>8</xdr:col>
      <xdr:colOff>123825</xdr:colOff>
      <xdr:row>152</xdr:row>
      <xdr:rowOff>0</xdr:rowOff>
    </xdr:from>
    <xdr:to>
      <xdr:col>8</xdr:col>
      <xdr:colOff>400050</xdr:colOff>
      <xdr:row>152</xdr:row>
      <xdr:rowOff>0</xdr:rowOff>
    </xdr:to>
    <xdr:sp>
      <xdr:nvSpPr>
        <xdr:cNvPr id="454" name="Rectangle 481"/>
        <xdr:cNvSpPr>
          <a:spLocks/>
        </xdr:cNvSpPr>
      </xdr:nvSpPr>
      <xdr:spPr>
        <a:xfrm>
          <a:off x="6467475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152</xdr:row>
      <xdr:rowOff>0</xdr:rowOff>
    </xdr:from>
    <xdr:to>
      <xdr:col>8</xdr:col>
      <xdr:colOff>381000</xdr:colOff>
      <xdr:row>152</xdr:row>
      <xdr:rowOff>0</xdr:rowOff>
    </xdr:to>
    <xdr:sp>
      <xdr:nvSpPr>
        <xdr:cNvPr id="455" name="Rectangle 482"/>
        <xdr:cNvSpPr>
          <a:spLocks/>
        </xdr:cNvSpPr>
      </xdr:nvSpPr>
      <xdr:spPr>
        <a:xfrm>
          <a:off x="6381750" y="28965525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</a:p>
      </xdr:txBody>
    </xdr:sp>
    <xdr:clientData/>
  </xdr:twoCellAnchor>
  <xdr:twoCellAnchor>
    <xdr:from>
      <xdr:col>8</xdr:col>
      <xdr:colOff>123825</xdr:colOff>
      <xdr:row>152</xdr:row>
      <xdr:rowOff>0</xdr:rowOff>
    </xdr:from>
    <xdr:to>
      <xdr:col>8</xdr:col>
      <xdr:colOff>400050</xdr:colOff>
      <xdr:row>152</xdr:row>
      <xdr:rowOff>0</xdr:rowOff>
    </xdr:to>
    <xdr:sp>
      <xdr:nvSpPr>
        <xdr:cNvPr id="456" name="Rectangle 483"/>
        <xdr:cNvSpPr>
          <a:spLocks/>
        </xdr:cNvSpPr>
      </xdr:nvSpPr>
      <xdr:spPr>
        <a:xfrm>
          <a:off x="6467475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152</xdr:row>
      <xdr:rowOff>0</xdr:rowOff>
    </xdr:from>
    <xdr:to>
      <xdr:col>8</xdr:col>
      <xdr:colOff>381000</xdr:colOff>
      <xdr:row>152</xdr:row>
      <xdr:rowOff>0</xdr:rowOff>
    </xdr:to>
    <xdr:sp>
      <xdr:nvSpPr>
        <xdr:cNvPr id="457" name="Rectangle 484"/>
        <xdr:cNvSpPr>
          <a:spLocks/>
        </xdr:cNvSpPr>
      </xdr:nvSpPr>
      <xdr:spPr>
        <a:xfrm>
          <a:off x="6381750" y="28965525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</a:p>
      </xdr:txBody>
    </xdr:sp>
    <xdr:clientData/>
  </xdr:twoCellAnchor>
  <xdr:twoCellAnchor>
    <xdr:from>
      <xdr:col>8</xdr:col>
      <xdr:colOff>123825</xdr:colOff>
      <xdr:row>152</xdr:row>
      <xdr:rowOff>0</xdr:rowOff>
    </xdr:from>
    <xdr:to>
      <xdr:col>8</xdr:col>
      <xdr:colOff>400050</xdr:colOff>
      <xdr:row>152</xdr:row>
      <xdr:rowOff>0</xdr:rowOff>
    </xdr:to>
    <xdr:sp>
      <xdr:nvSpPr>
        <xdr:cNvPr id="458" name="Rectangle 485"/>
        <xdr:cNvSpPr>
          <a:spLocks/>
        </xdr:cNvSpPr>
      </xdr:nvSpPr>
      <xdr:spPr>
        <a:xfrm>
          <a:off x="6467475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85725</xdr:colOff>
      <xdr:row>152</xdr:row>
      <xdr:rowOff>0</xdr:rowOff>
    </xdr:from>
    <xdr:to>
      <xdr:col>10</xdr:col>
      <xdr:colOff>409575</xdr:colOff>
      <xdr:row>152</xdr:row>
      <xdr:rowOff>0</xdr:rowOff>
    </xdr:to>
    <xdr:sp>
      <xdr:nvSpPr>
        <xdr:cNvPr id="459" name="Rectangle 486"/>
        <xdr:cNvSpPr>
          <a:spLocks/>
        </xdr:cNvSpPr>
      </xdr:nvSpPr>
      <xdr:spPr>
        <a:xfrm>
          <a:off x="7343775" y="28965525"/>
          <a:ext cx="323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152</xdr:row>
      <xdr:rowOff>0</xdr:rowOff>
    </xdr:from>
    <xdr:to>
      <xdr:col>8</xdr:col>
      <xdr:colOff>381000</xdr:colOff>
      <xdr:row>152</xdr:row>
      <xdr:rowOff>0</xdr:rowOff>
    </xdr:to>
    <xdr:sp>
      <xdr:nvSpPr>
        <xdr:cNvPr id="460" name="Rectangle 487"/>
        <xdr:cNvSpPr>
          <a:spLocks/>
        </xdr:cNvSpPr>
      </xdr:nvSpPr>
      <xdr:spPr>
        <a:xfrm>
          <a:off x="6381750" y="28965525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</a:p>
      </xdr:txBody>
    </xdr:sp>
    <xdr:clientData/>
  </xdr:twoCellAnchor>
  <xdr:twoCellAnchor>
    <xdr:from>
      <xdr:col>8</xdr:col>
      <xdr:colOff>38100</xdr:colOff>
      <xdr:row>152</xdr:row>
      <xdr:rowOff>0</xdr:rowOff>
    </xdr:from>
    <xdr:to>
      <xdr:col>8</xdr:col>
      <xdr:colOff>314325</xdr:colOff>
      <xdr:row>152</xdr:row>
      <xdr:rowOff>0</xdr:rowOff>
    </xdr:to>
    <xdr:sp>
      <xdr:nvSpPr>
        <xdr:cNvPr id="461" name="Rectangle 488"/>
        <xdr:cNvSpPr>
          <a:spLocks/>
        </xdr:cNvSpPr>
      </xdr:nvSpPr>
      <xdr:spPr>
        <a:xfrm>
          <a:off x="63817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19050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462" name="Rectangle 489"/>
        <xdr:cNvSpPr>
          <a:spLocks/>
        </xdr:cNvSpPr>
      </xdr:nvSpPr>
      <xdr:spPr>
        <a:xfrm>
          <a:off x="72771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463" name="Rectangle 490"/>
        <xdr:cNvSpPr>
          <a:spLocks/>
        </xdr:cNvSpPr>
      </xdr:nvSpPr>
      <xdr:spPr>
        <a:xfrm>
          <a:off x="72961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152</xdr:row>
      <xdr:rowOff>0</xdr:rowOff>
    </xdr:from>
    <xdr:to>
      <xdr:col>8</xdr:col>
      <xdr:colOff>314325</xdr:colOff>
      <xdr:row>152</xdr:row>
      <xdr:rowOff>0</xdr:rowOff>
    </xdr:to>
    <xdr:sp>
      <xdr:nvSpPr>
        <xdr:cNvPr id="464" name="Rectangle 491"/>
        <xdr:cNvSpPr>
          <a:spLocks/>
        </xdr:cNvSpPr>
      </xdr:nvSpPr>
      <xdr:spPr>
        <a:xfrm>
          <a:off x="63817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19050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465" name="Rectangle 492"/>
        <xdr:cNvSpPr>
          <a:spLocks/>
        </xdr:cNvSpPr>
      </xdr:nvSpPr>
      <xdr:spPr>
        <a:xfrm>
          <a:off x="72771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38100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466" name="Rectangle 493"/>
        <xdr:cNvSpPr>
          <a:spLocks/>
        </xdr:cNvSpPr>
      </xdr:nvSpPr>
      <xdr:spPr>
        <a:xfrm>
          <a:off x="82105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0</xdr:colOff>
      <xdr:row>152</xdr:row>
      <xdr:rowOff>0</xdr:rowOff>
    </xdr:from>
    <xdr:to>
      <xdr:col>14</xdr:col>
      <xdr:colOff>0</xdr:colOff>
      <xdr:row>152</xdr:row>
      <xdr:rowOff>0</xdr:rowOff>
    </xdr:to>
    <xdr:sp>
      <xdr:nvSpPr>
        <xdr:cNvPr id="467" name="Rectangle 494"/>
        <xdr:cNvSpPr>
          <a:spLocks/>
        </xdr:cNvSpPr>
      </xdr:nvSpPr>
      <xdr:spPr>
        <a:xfrm>
          <a:off x="9134475" y="2896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468" name="Rectangle 495"/>
        <xdr:cNvSpPr>
          <a:spLocks/>
        </xdr:cNvSpPr>
      </xdr:nvSpPr>
      <xdr:spPr>
        <a:xfrm>
          <a:off x="72961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469" name="Rectangle 496"/>
        <xdr:cNvSpPr>
          <a:spLocks/>
        </xdr:cNvSpPr>
      </xdr:nvSpPr>
      <xdr:spPr>
        <a:xfrm>
          <a:off x="81915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0</xdr:colOff>
      <xdr:row>152</xdr:row>
      <xdr:rowOff>0</xdr:rowOff>
    </xdr:from>
    <xdr:to>
      <xdr:col>14</xdr:col>
      <xdr:colOff>0</xdr:colOff>
      <xdr:row>152</xdr:row>
      <xdr:rowOff>0</xdr:rowOff>
    </xdr:to>
    <xdr:sp>
      <xdr:nvSpPr>
        <xdr:cNvPr id="470" name="Rectangle 497"/>
        <xdr:cNvSpPr>
          <a:spLocks/>
        </xdr:cNvSpPr>
      </xdr:nvSpPr>
      <xdr:spPr>
        <a:xfrm>
          <a:off x="9134475" y="2896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471" name="Rectangle 498"/>
        <xdr:cNvSpPr>
          <a:spLocks/>
        </xdr:cNvSpPr>
      </xdr:nvSpPr>
      <xdr:spPr>
        <a:xfrm>
          <a:off x="72961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472" name="Rectangle 499"/>
        <xdr:cNvSpPr>
          <a:spLocks/>
        </xdr:cNvSpPr>
      </xdr:nvSpPr>
      <xdr:spPr>
        <a:xfrm>
          <a:off x="81915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473" name="Rectangle 500"/>
        <xdr:cNvSpPr>
          <a:spLocks/>
        </xdr:cNvSpPr>
      </xdr:nvSpPr>
      <xdr:spPr>
        <a:xfrm>
          <a:off x="72961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474" name="Rectangle 501"/>
        <xdr:cNvSpPr>
          <a:spLocks/>
        </xdr:cNvSpPr>
      </xdr:nvSpPr>
      <xdr:spPr>
        <a:xfrm>
          <a:off x="81915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152</xdr:row>
      <xdr:rowOff>0</xdr:rowOff>
    </xdr:from>
    <xdr:to>
      <xdr:col>8</xdr:col>
      <xdr:colOff>314325</xdr:colOff>
      <xdr:row>152</xdr:row>
      <xdr:rowOff>0</xdr:rowOff>
    </xdr:to>
    <xdr:sp>
      <xdr:nvSpPr>
        <xdr:cNvPr id="475" name="Rectangle 502"/>
        <xdr:cNvSpPr>
          <a:spLocks/>
        </xdr:cNvSpPr>
      </xdr:nvSpPr>
      <xdr:spPr>
        <a:xfrm>
          <a:off x="63817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19050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476" name="Rectangle 503"/>
        <xdr:cNvSpPr>
          <a:spLocks/>
        </xdr:cNvSpPr>
      </xdr:nvSpPr>
      <xdr:spPr>
        <a:xfrm>
          <a:off x="72771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38100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477" name="Rectangle 504"/>
        <xdr:cNvSpPr>
          <a:spLocks/>
        </xdr:cNvSpPr>
      </xdr:nvSpPr>
      <xdr:spPr>
        <a:xfrm>
          <a:off x="82105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152</xdr:row>
      <xdr:rowOff>0</xdr:rowOff>
    </xdr:from>
    <xdr:to>
      <xdr:col>8</xdr:col>
      <xdr:colOff>314325</xdr:colOff>
      <xdr:row>152</xdr:row>
      <xdr:rowOff>0</xdr:rowOff>
    </xdr:to>
    <xdr:sp>
      <xdr:nvSpPr>
        <xdr:cNvPr id="478" name="Rectangle 505"/>
        <xdr:cNvSpPr>
          <a:spLocks/>
        </xdr:cNvSpPr>
      </xdr:nvSpPr>
      <xdr:spPr>
        <a:xfrm>
          <a:off x="63817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19050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479" name="Rectangle 506"/>
        <xdr:cNvSpPr>
          <a:spLocks/>
        </xdr:cNvSpPr>
      </xdr:nvSpPr>
      <xdr:spPr>
        <a:xfrm>
          <a:off x="72771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38100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480" name="Rectangle 507"/>
        <xdr:cNvSpPr>
          <a:spLocks/>
        </xdr:cNvSpPr>
      </xdr:nvSpPr>
      <xdr:spPr>
        <a:xfrm>
          <a:off x="82105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152</xdr:row>
      <xdr:rowOff>0</xdr:rowOff>
    </xdr:from>
    <xdr:to>
      <xdr:col>8</xdr:col>
      <xdr:colOff>314325</xdr:colOff>
      <xdr:row>152</xdr:row>
      <xdr:rowOff>0</xdr:rowOff>
    </xdr:to>
    <xdr:sp>
      <xdr:nvSpPr>
        <xdr:cNvPr id="481" name="Rectangle 508"/>
        <xdr:cNvSpPr>
          <a:spLocks/>
        </xdr:cNvSpPr>
      </xdr:nvSpPr>
      <xdr:spPr>
        <a:xfrm>
          <a:off x="63817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19050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482" name="Rectangle 509"/>
        <xdr:cNvSpPr>
          <a:spLocks/>
        </xdr:cNvSpPr>
      </xdr:nvSpPr>
      <xdr:spPr>
        <a:xfrm>
          <a:off x="72771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483" name="Rectangle 510"/>
        <xdr:cNvSpPr>
          <a:spLocks/>
        </xdr:cNvSpPr>
      </xdr:nvSpPr>
      <xdr:spPr>
        <a:xfrm>
          <a:off x="72961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484" name="Rectangle 511"/>
        <xdr:cNvSpPr>
          <a:spLocks/>
        </xdr:cNvSpPr>
      </xdr:nvSpPr>
      <xdr:spPr>
        <a:xfrm>
          <a:off x="81915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6</xdr:col>
      <xdr:colOff>38100</xdr:colOff>
      <xdr:row>152</xdr:row>
      <xdr:rowOff>0</xdr:rowOff>
    </xdr:from>
    <xdr:to>
      <xdr:col>6</xdr:col>
      <xdr:colOff>314325</xdr:colOff>
      <xdr:row>152</xdr:row>
      <xdr:rowOff>0</xdr:rowOff>
    </xdr:to>
    <xdr:sp>
      <xdr:nvSpPr>
        <xdr:cNvPr id="485" name="Rectangle 512"/>
        <xdr:cNvSpPr>
          <a:spLocks/>
        </xdr:cNvSpPr>
      </xdr:nvSpPr>
      <xdr:spPr>
        <a:xfrm>
          <a:off x="54673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486" name="Rectangle 513"/>
        <xdr:cNvSpPr>
          <a:spLocks/>
        </xdr:cNvSpPr>
      </xdr:nvSpPr>
      <xdr:spPr>
        <a:xfrm>
          <a:off x="81915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19050</xdr:colOff>
      <xdr:row>152</xdr:row>
      <xdr:rowOff>0</xdr:rowOff>
    </xdr:from>
    <xdr:to>
      <xdr:col>8</xdr:col>
      <xdr:colOff>314325</xdr:colOff>
      <xdr:row>152</xdr:row>
      <xdr:rowOff>0</xdr:rowOff>
    </xdr:to>
    <xdr:sp>
      <xdr:nvSpPr>
        <xdr:cNvPr id="487" name="Rectangle 514"/>
        <xdr:cNvSpPr>
          <a:spLocks/>
        </xdr:cNvSpPr>
      </xdr:nvSpPr>
      <xdr:spPr>
        <a:xfrm>
          <a:off x="63627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488" name="Rectangle 515"/>
        <xdr:cNvSpPr>
          <a:spLocks/>
        </xdr:cNvSpPr>
      </xdr:nvSpPr>
      <xdr:spPr>
        <a:xfrm>
          <a:off x="72961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489" name="Rectangle 516"/>
        <xdr:cNvSpPr>
          <a:spLocks/>
        </xdr:cNvSpPr>
      </xdr:nvSpPr>
      <xdr:spPr>
        <a:xfrm>
          <a:off x="72961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490" name="Rectangle 517"/>
        <xdr:cNvSpPr>
          <a:spLocks/>
        </xdr:cNvSpPr>
      </xdr:nvSpPr>
      <xdr:spPr>
        <a:xfrm>
          <a:off x="81915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152</xdr:row>
      <xdr:rowOff>0</xdr:rowOff>
    </xdr:from>
    <xdr:to>
      <xdr:col>8</xdr:col>
      <xdr:colOff>314325</xdr:colOff>
      <xdr:row>152</xdr:row>
      <xdr:rowOff>0</xdr:rowOff>
    </xdr:to>
    <xdr:sp>
      <xdr:nvSpPr>
        <xdr:cNvPr id="491" name="Rectangle 518"/>
        <xdr:cNvSpPr>
          <a:spLocks/>
        </xdr:cNvSpPr>
      </xdr:nvSpPr>
      <xdr:spPr>
        <a:xfrm>
          <a:off x="63817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19050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492" name="Rectangle 519"/>
        <xdr:cNvSpPr>
          <a:spLocks/>
        </xdr:cNvSpPr>
      </xdr:nvSpPr>
      <xdr:spPr>
        <a:xfrm>
          <a:off x="72771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38100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493" name="Rectangle 520"/>
        <xdr:cNvSpPr>
          <a:spLocks/>
        </xdr:cNvSpPr>
      </xdr:nvSpPr>
      <xdr:spPr>
        <a:xfrm>
          <a:off x="82105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152</xdr:row>
      <xdr:rowOff>0</xdr:rowOff>
    </xdr:from>
    <xdr:to>
      <xdr:col>8</xdr:col>
      <xdr:colOff>314325</xdr:colOff>
      <xdr:row>152</xdr:row>
      <xdr:rowOff>0</xdr:rowOff>
    </xdr:to>
    <xdr:sp>
      <xdr:nvSpPr>
        <xdr:cNvPr id="494" name="Rectangle 521"/>
        <xdr:cNvSpPr>
          <a:spLocks/>
        </xdr:cNvSpPr>
      </xdr:nvSpPr>
      <xdr:spPr>
        <a:xfrm>
          <a:off x="63817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19050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495" name="Rectangle 522"/>
        <xdr:cNvSpPr>
          <a:spLocks/>
        </xdr:cNvSpPr>
      </xdr:nvSpPr>
      <xdr:spPr>
        <a:xfrm>
          <a:off x="72771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38100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496" name="Rectangle 523"/>
        <xdr:cNvSpPr>
          <a:spLocks/>
        </xdr:cNvSpPr>
      </xdr:nvSpPr>
      <xdr:spPr>
        <a:xfrm>
          <a:off x="82105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497" name="Rectangle 524"/>
        <xdr:cNvSpPr>
          <a:spLocks/>
        </xdr:cNvSpPr>
      </xdr:nvSpPr>
      <xdr:spPr>
        <a:xfrm>
          <a:off x="72961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498" name="Rectangle 525"/>
        <xdr:cNvSpPr>
          <a:spLocks/>
        </xdr:cNvSpPr>
      </xdr:nvSpPr>
      <xdr:spPr>
        <a:xfrm>
          <a:off x="81915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499" name="Rectangle 526"/>
        <xdr:cNvSpPr>
          <a:spLocks/>
        </xdr:cNvSpPr>
      </xdr:nvSpPr>
      <xdr:spPr>
        <a:xfrm>
          <a:off x="72961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500" name="Rectangle 527"/>
        <xdr:cNvSpPr>
          <a:spLocks/>
        </xdr:cNvSpPr>
      </xdr:nvSpPr>
      <xdr:spPr>
        <a:xfrm>
          <a:off x="81915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501" name="Rectangle 528"/>
        <xdr:cNvSpPr>
          <a:spLocks/>
        </xdr:cNvSpPr>
      </xdr:nvSpPr>
      <xdr:spPr>
        <a:xfrm>
          <a:off x="72961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502" name="Rectangle 529"/>
        <xdr:cNvSpPr>
          <a:spLocks/>
        </xdr:cNvSpPr>
      </xdr:nvSpPr>
      <xdr:spPr>
        <a:xfrm>
          <a:off x="81915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123825</xdr:colOff>
      <xdr:row>152</xdr:row>
      <xdr:rowOff>0</xdr:rowOff>
    </xdr:from>
    <xdr:to>
      <xdr:col>8</xdr:col>
      <xdr:colOff>400050</xdr:colOff>
      <xdr:row>152</xdr:row>
      <xdr:rowOff>0</xdr:rowOff>
    </xdr:to>
    <xdr:sp>
      <xdr:nvSpPr>
        <xdr:cNvPr id="503" name="Rectangle 530"/>
        <xdr:cNvSpPr>
          <a:spLocks/>
        </xdr:cNvSpPr>
      </xdr:nvSpPr>
      <xdr:spPr>
        <a:xfrm>
          <a:off x="6467475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85725</xdr:colOff>
      <xdr:row>152</xdr:row>
      <xdr:rowOff>0</xdr:rowOff>
    </xdr:from>
    <xdr:to>
      <xdr:col>10</xdr:col>
      <xdr:colOff>409575</xdr:colOff>
      <xdr:row>152</xdr:row>
      <xdr:rowOff>0</xdr:rowOff>
    </xdr:to>
    <xdr:sp>
      <xdr:nvSpPr>
        <xdr:cNvPr id="504" name="Rectangle 531"/>
        <xdr:cNvSpPr>
          <a:spLocks/>
        </xdr:cNvSpPr>
      </xdr:nvSpPr>
      <xdr:spPr>
        <a:xfrm>
          <a:off x="7343775" y="28965525"/>
          <a:ext cx="323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152</xdr:row>
      <xdr:rowOff>0</xdr:rowOff>
    </xdr:from>
    <xdr:to>
      <xdr:col>8</xdr:col>
      <xdr:colOff>381000</xdr:colOff>
      <xdr:row>152</xdr:row>
      <xdr:rowOff>0</xdr:rowOff>
    </xdr:to>
    <xdr:sp>
      <xdr:nvSpPr>
        <xdr:cNvPr id="505" name="Rectangle 532"/>
        <xdr:cNvSpPr>
          <a:spLocks/>
        </xdr:cNvSpPr>
      </xdr:nvSpPr>
      <xdr:spPr>
        <a:xfrm>
          <a:off x="6381750" y="28965525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</a:p>
      </xdr:txBody>
    </xdr:sp>
    <xdr:clientData/>
  </xdr:twoCellAnchor>
  <xdr:twoCellAnchor>
    <xdr:from>
      <xdr:col>8</xdr:col>
      <xdr:colOff>123825</xdr:colOff>
      <xdr:row>152</xdr:row>
      <xdr:rowOff>0</xdr:rowOff>
    </xdr:from>
    <xdr:to>
      <xdr:col>8</xdr:col>
      <xdr:colOff>400050</xdr:colOff>
      <xdr:row>152</xdr:row>
      <xdr:rowOff>0</xdr:rowOff>
    </xdr:to>
    <xdr:sp>
      <xdr:nvSpPr>
        <xdr:cNvPr id="506" name="Rectangle 533"/>
        <xdr:cNvSpPr>
          <a:spLocks/>
        </xdr:cNvSpPr>
      </xdr:nvSpPr>
      <xdr:spPr>
        <a:xfrm>
          <a:off x="6467475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152</xdr:row>
      <xdr:rowOff>0</xdr:rowOff>
    </xdr:from>
    <xdr:to>
      <xdr:col>8</xdr:col>
      <xdr:colOff>381000</xdr:colOff>
      <xdr:row>152</xdr:row>
      <xdr:rowOff>0</xdr:rowOff>
    </xdr:to>
    <xdr:sp>
      <xdr:nvSpPr>
        <xdr:cNvPr id="507" name="Rectangle 534"/>
        <xdr:cNvSpPr>
          <a:spLocks/>
        </xdr:cNvSpPr>
      </xdr:nvSpPr>
      <xdr:spPr>
        <a:xfrm>
          <a:off x="6381750" y="28965525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</a:p>
      </xdr:txBody>
    </xdr:sp>
    <xdr:clientData/>
  </xdr:twoCellAnchor>
  <xdr:twoCellAnchor>
    <xdr:from>
      <xdr:col>8</xdr:col>
      <xdr:colOff>123825</xdr:colOff>
      <xdr:row>152</xdr:row>
      <xdr:rowOff>0</xdr:rowOff>
    </xdr:from>
    <xdr:to>
      <xdr:col>8</xdr:col>
      <xdr:colOff>400050</xdr:colOff>
      <xdr:row>152</xdr:row>
      <xdr:rowOff>0</xdr:rowOff>
    </xdr:to>
    <xdr:sp>
      <xdr:nvSpPr>
        <xdr:cNvPr id="508" name="Rectangle 535"/>
        <xdr:cNvSpPr>
          <a:spLocks/>
        </xdr:cNvSpPr>
      </xdr:nvSpPr>
      <xdr:spPr>
        <a:xfrm>
          <a:off x="6467475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152</xdr:row>
      <xdr:rowOff>0</xdr:rowOff>
    </xdr:from>
    <xdr:to>
      <xdr:col>8</xdr:col>
      <xdr:colOff>381000</xdr:colOff>
      <xdr:row>152</xdr:row>
      <xdr:rowOff>0</xdr:rowOff>
    </xdr:to>
    <xdr:sp>
      <xdr:nvSpPr>
        <xdr:cNvPr id="509" name="Rectangle 536"/>
        <xdr:cNvSpPr>
          <a:spLocks/>
        </xdr:cNvSpPr>
      </xdr:nvSpPr>
      <xdr:spPr>
        <a:xfrm>
          <a:off x="6381750" y="28965525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</a:p>
      </xdr:txBody>
    </xdr:sp>
    <xdr:clientData/>
  </xdr:twoCellAnchor>
  <xdr:twoCellAnchor>
    <xdr:from>
      <xdr:col>8</xdr:col>
      <xdr:colOff>123825</xdr:colOff>
      <xdr:row>152</xdr:row>
      <xdr:rowOff>0</xdr:rowOff>
    </xdr:from>
    <xdr:to>
      <xdr:col>8</xdr:col>
      <xdr:colOff>400050</xdr:colOff>
      <xdr:row>152</xdr:row>
      <xdr:rowOff>0</xdr:rowOff>
    </xdr:to>
    <xdr:sp>
      <xdr:nvSpPr>
        <xdr:cNvPr id="510" name="Rectangle 537"/>
        <xdr:cNvSpPr>
          <a:spLocks/>
        </xdr:cNvSpPr>
      </xdr:nvSpPr>
      <xdr:spPr>
        <a:xfrm>
          <a:off x="6467475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85725</xdr:colOff>
      <xdr:row>152</xdr:row>
      <xdr:rowOff>0</xdr:rowOff>
    </xdr:from>
    <xdr:to>
      <xdr:col>10</xdr:col>
      <xdr:colOff>409575</xdr:colOff>
      <xdr:row>152</xdr:row>
      <xdr:rowOff>0</xdr:rowOff>
    </xdr:to>
    <xdr:sp>
      <xdr:nvSpPr>
        <xdr:cNvPr id="511" name="Rectangle 538"/>
        <xdr:cNvSpPr>
          <a:spLocks/>
        </xdr:cNvSpPr>
      </xdr:nvSpPr>
      <xdr:spPr>
        <a:xfrm>
          <a:off x="7343775" y="28965525"/>
          <a:ext cx="323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152</xdr:row>
      <xdr:rowOff>0</xdr:rowOff>
    </xdr:from>
    <xdr:to>
      <xdr:col>8</xdr:col>
      <xdr:colOff>381000</xdr:colOff>
      <xdr:row>152</xdr:row>
      <xdr:rowOff>0</xdr:rowOff>
    </xdr:to>
    <xdr:sp>
      <xdr:nvSpPr>
        <xdr:cNvPr id="512" name="Rectangle 539"/>
        <xdr:cNvSpPr>
          <a:spLocks/>
        </xdr:cNvSpPr>
      </xdr:nvSpPr>
      <xdr:spPr>
        <a:xfrm>
          <a:off x="6381750" y="28965525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</a:p>
      </xdr:txBody>
    </xdr:sp>
    <xdr:clientData/>
  </xdr:twoCellAnchor>
  <xdr:twoCellAnchor>
    <xdr:from>
      <xdr:col>10</xdr:col>
      <xdr:colOff>38100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513" name="Rectangle 540"/>
        <xdr:cNvSpPr>
          <a:spLocks/>
        </xdr:cNvSpPr>
      </xdr:nvSpPr>
      <xdr:spPr>
        <a:xfrm>
          <a:off x="72961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514" name="Rectangle 541"/>
        <xdr:cNvSpPr>
          <a:spLocks/>
        </xdr:cNvSpPr>
      </xdr:nvSpPr>
      <xdr:spPr>
        <a:xfrm>
          <a:off x="81915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515" name="Rectangle 542"/>
        <xdr:cNvSpPr>
          <a:spLocks/>
        </xdr:cNvSpPr>
      </xdr:nvSpPr>
      <xdr:spPr>
        <a:xfrm>
          <a:off x="72961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516" name="Rectangle 543"/>
        <xdr:cNvSpPr>
          <a:spLocks/>
        </xdr:cNvSpPr>
      </xdr:nvSpPr>
      <xdr:spPr>
        <a:xfrm>
          <a:off x="81915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152</xdr:row>
      <xdr:rowOff>0</xdr:rowOff>
    </xdr:from>
    <xdr:to>
      <xdr:col>8</xdr:col>
      <xdr:colOff>314325</xdr:colOff>
      <xdr:row>152</xdr:row>
      <xdr:rowOff>0</xdr:rowOff>
    </xdr:to>
    <xdr:sp>
      <xdr:nvSpPr>
        <xdr:cNvPr id="517" name="Rectangle 544"/>
        <xdr:cNvSpPr>
          <a:spLocks/>
        </xdr:cNvSpPr>
      </xdr:nvSpPr>
      <xdr:spPr>
        <a:xfrm>
          <a:off x="63817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19050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518" name="Rectangle 545"/>
        <xdr:cNvSpPr>
          <a:spLocks/>
        </xdr:cNvSpPr>
      </xdr:nvSpPr>
      <xdr:spPr>
        <a:xfrm>
          <a:off x="72771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38100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519" name="Rectangle 546"/>
        <xdr:cNvSpPr>
          <a:spLocks/>
        </xdr:cNvSpPr>
      </xdr:nvSpPr>
      <xdr:spPr>
        <a:xfrm>
          <a:off x="82105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152</xdr:row>
      <xdr:rowOff>0</xdr:rowOff>
    </xdr:from>
    <xdr:to>
      <xdr:col>8</xdr:col>
      <xdr:colOff>314325</xdr:colOff>
      <xdr:row>152</xdr:row>
      <xdr:rowOff>0</xdr:rowOff>
    </xdr:to>
    <xdr:sp>
      <xdr:nvSpPr>
        <xdr:cNvPr id="520" name="Rectangle 547"/>
        <xdr:cNvSpPr>
          <a:spLocks/>
        </xdr:cNvSpPr>
      </xdr:nvSpPr>
      <xdr:spPr>
        <a:xfrm>
          <a:off x="63817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19050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521" name="Rectangle 548"/>
        <xdr:cNvSpPr>
          <a:spLocks/>
        </xdr:cNvSpPr>
      </xdr:nvSpPr>
      <xdr:spPr>
        <a:xfrm>
          <a:off x="72771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38100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522" name="Rectangle 549"/>
        <xdr:cNvSpPr>
          <a:spLocks/>
        </xdr:cNvSpPr>
      </xdr:nvSpPr>
      <xdr:spPr>
        <a:xfrm>
          <a:off x="82105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152</xdr:row>
      <xdr:rowOff>0</xdr:rowOff>
    </xdr:from>
    <xdr:to>
      <xdr:col>8</xdr:col>
      <xdr:colOff>314325</xdr:colOff>
      <xdr:row>152</xdr:row>
      <xdr:rowOff>0</xdr:rowOff>
    </xdr:to>
    <xdr:sp>
      <xdr:nvSpPr>
        <xdr:cNvPr id="523" name="Rectangle 550"/>
        <xdr:cNvSpPr>
          <a:spLocks/>
        </xdr:cNvSpPr>
      </xdr:nvSpPr>
      <xdr:spPr>
        <a:xfrm>
          <a:off x="63817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19050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524" name="Rectangle 551"/>
        <xdr:cNvSpPr>
          <a:spLocks/>
        </xdr:cNvSpPr>
      </xdr:nvSpPr>
      <xdr:spPr>
        <a:xfrm>
          <a:off x="72771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525" name="Rectangle 552"/>
        <xdr:cNvSpPr>
          <a:spLocks/>
        </xdr:cNvSpPr>
      </xdr:nvSpPr>
      <xdr:spPr>
        <a:xfrm>
          <a:off x="72961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526" name="Rectangle 553"/>
        <xdr:cNvSpPr>
          <a:spLocks/>
        </xdr:cNvSpPr>
      </xdr:nvSpPr>
      <xdr:spPr>
        <a:xfrm>
          <a:off x="81915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6</xdr:col>
      <xdr:colOff>38100</xdr:colOff>
      <xdr:row>152</xdr:row>
      <xdr:rowOff>0</xdr:rowOff>
    </xdr:from>
    <xdr:to>
      <xdr:col>6</xdr:col>
      <xdr:colOff>314325</xdr:colOff>
      <xdr:row>152</xdr:row>
      <xdr:rowOff>0</xdr:rowOff>
    </xdr:to>
    <xdr:sp>
      <xdr:nvSpPr>
        <xdr:cNvPr id="527" name="Rectangle 554"/>
        <xdr:cNvSpPr>
          <a:spLocks/>
        </xdr:cNvSpPr>
      </xdr:nvSpPr>
      <xdr:spPr>
        <a:xfrm>
          <a:off x="54673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6</xdr:col>
      <xdr:colOff>19050</xdr:colOff>
      <xdr:row>152</xdr:row>
      <xdr:rowOff>0</xdr:rowOff>
    </xdr:from>
    <xdr:to>
      <xdr:col>6</xdr:col>
      <xdr:colOff>314325</xdr:colOff>
      <xdr:row>152</xdr:row>
      <xdr:rowOff>0</xdr:rowOff>
    </xdr:to>
    <xdr:sp>
      <xdr:nvSpPr>
        <xdr:cNvPr id="528" name="Rectangle 555"/>
        <xdr:cNvSpPr>
          <a:spLocks/>
        </xdr:cNvSpPr>
      </xdr:nvSpPr>
      <xdr:spPr>
        <a:xfrm>
          <a:off x="54483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38100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529" name="Rectangle 556"/>
        <xdr:cNvSpPr>
          <a:spLocks/>
        </xdr:cNvSpPr>
      </xdr:nvSpPr>
      <xdr:spPr>
        <a:xfrm>
          <a:off x="82105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19050</xdr:colOff>
      <xdr:row>152</xdr:row>
      <xdr:rowOff>0</xdr:rowOff>
    </xdr:from>
    <xdr:to>
      <xdr:col>8</xdr:col>
      <xdr:colOff>314325</xdr:colOff>
      <xdr:row>152</xdr:row>
      <xdr:rowOff>0</xdr:rowOff>
    </xdr:to>
    <xdr:sp>
      <xdr:nvSpPr>
        <xdr:cNvPr id="530" name="Rectangle 557"/>
        <xdr:cNvSpPr>
          <a:spLocks/>
        </xdr:cNvSpPr>
      </xdr:nvSpPr>
      <xdr:spPr>
        <a:xfrm>
          <a:off x="63627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531" name="Rectangle 558"/>
        <xdr:cNvSpPr>
          <a:spLocks/>
        </xdr:cNvSpPr>
      </xdr:nvSpPr>
      <xdr:spPr>
        <a:xfrm>
          <a:off x="72961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532" name="Rectangle 559"/>
        <xdr:cNvSpPr>
          <a:spLocks/>
        </xdr:cNvSpPr>
      </xdr:nvSpPr>
      <xdr:spPr>
        <a:xfrm>
          <a:off x="72961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533" name="Rectangle 560"/>
        <xdr:cNvSpPr>
          <a:spLocks/>
        </xdr:cNvSpPr>
      </xdr:nvSpPr>
      <xdr:spPr>
        <a:xfrm>
          <a:off x="81915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152</xdr:row>
      <xdr:rowOff>0</xdr:rowOff>
    </xdr:from>
    <xdr:to>
      <xdr:col>8</xdr:col>
      <xdr:colOff>314325</xdr:colOff>
      <xdr:row>152</xdr:row>
      <xdr:rowOff>0</xdr:rowOff>
    </xdr:to>
    <xdr:sp>
      <xdr:nvSpPr>
        <xdr:cNvPr id="534" name="Rectangle 561"/>
        <xdr:cNvSpPr>
          <a:spLocks/>
        </xdr:cNvSpPr>
      </xdr:nvSpPr>
      <xdr:spPr>
        <a:xfrm>
          <a:off x="63817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19050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535" name="Rectangle 562"/>
        <xdr:cNvSpPr>
          <a:spLocks/>
        </xdr:cNvSpPr>
      </xdr:nvSpPr>
      <xdr:spPr>
        <a:xfrm>
          <a:off x="72771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38100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536" name="Rectangle 563"/>
        <xdr:cNvSpPr>
          <a:spLocks/>
        </xdr:cNvSpPr>
      </xdr:nvSpPr>
      <xdr:spPr>
        <a:xfrm>
          <a:off x="82105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152</xdr:row>
      <xdr:rowOff>0</xdr:rowOff>
    </xdr:from>
    <xdr:to>
      <xdr:col>8</xdr:col>
      <xdr:colOff>314325</xdr:colOff>
      <xdr:row>152</xdr:row>
      <xdr:rowOff>0</xdr:rowOff>
    </xdr:to>
    <xdr:sp>
      <xdr:nvSpPr>
        <xdr:cNvPr id="537" name="Rectangle 564"/>
        <xdr:cNvSpPr>
          <a:spLocks/>
        </xdr:cNvSpPr>
      </xdr:nvSpPr>
      <xdr:spPr>
        <a:xfrm>
          <a:off x="63817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19050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538" name="Rectangle 565"/>
        <xdr:cNvSpPr>
          <a:spLocks/>
        </xdr:cNvSpPr>
      </xdr:nvSpPr>
      <xdr:spPr>
        <a:xfrm>
          <a:off x="72771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38100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539" name="Rectangle 566"/>
        <xdr:cNvSpPr>
          <a:spLocks/>
        </xdr:cNvSpPr>
      </xdr:nvSpPr>
      <xdr:spPr>
        <a:xfrm>
          <a:off x="82105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540" name="Rectangle 567"/>
        <xdr:cNvSpPr>
          <a:spLocks/>
        </xdr:cNvSpPr>
      </xdr:nvSpPr>
      <xdr:spPr>
        <a:xfrm>
          <a:off x="72961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541" name="Rectangle 568"/>
        <xdr:cNvSpPr>
          <a:spLocks/>
        </xdr:cNvSpPr>
      </xdr:nvSpPr>
      <xdr:spPr>
        <a:xfrm>
          <a:off x="81915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542" name="Rectangle 569"/>
        <xdr:cNvSpPr>
          <a:spLocks/>
        </xdr:cNvSpPr>
      </xdr:nvSpPr>
      <xdr:spPr>
        <a:xfrm>
          <a:off x="72961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543" name="Rectangle 570"/>
        <xdr:cNvSpPr>
          <a:spLocks/>
        </xdr:cNvSpPr>
      </xdr:nvSpPr>
      <xdr:spPr>
        <a:xfrm>
          <a:off x="81915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544" name="Rectangle 571"/>
        <xdr:cNvSpPr>
          <a:spLocks/>
        </xdr:cNvSpPr>
      </xdr:nvSpPr>
      <xdr:spPr>
        <a:xfrm>
          <a:off x="72961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545" name="Rectangle 572"/>
        <xdr:cNvSpPr>
          <a:spLocks/>
        </xdr:cNvSpPr>
      </xdr:nvSpPr>
      <xdr:spPr>
        <a:xfrm>
          <a:off x="81915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123825</xdr:colOff>
      <xdr:row>152</xdr:row>
      <xdr:rowOff>0</xdr:rowOff>
    </xdr:from>
    <xdr:to>
      <xdr:col>8</xdr:col>
      <xdr:colOff>400050</xdr:colOff>
      <xdr:row>152</xdr:row>
      <xdr:rowOff>0</xdr:rowOff>
    </xdr:to>
    <xdr:sp>
      <xdr:nvSpPr>
        <xdr:cNvPr id="546" name="Rectangle 573"/>
        <xdr:cNvSpPr>
          <a:spLocks/>
        </xdr:cNvSpPr>
      </xdr:nvSpPr>
      <xdr:spPr>
        <a:xfrm>
          <a:off x="6467475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85725</xdr:colOff>
      <xdr:row>152</xdr:row>
      <xdr:rowOff>0</xdr:rowOff>
    </xdr:from>
    <xdr:to>
      <xdr:col>10</xdr:col>
      <xdr:colOff>409575</xdr:colOff>
      <xdr:row>152</xdr:row>
      <xdr:rowOff>0</xdr:rowOff>
    </xdr:to>
    <xdr:sp>
      <xdr:nvSpPr>
        <xdr:cNvPr id="547" name="Rectangle 574"/>
        <xdr:cNvSpPr>
          <a:spLocks/>
        </xdr:cNvSpPr>
      </xdr:nvSpPr>
      <xdr:spPr>
        <a:xfrm>
          <a:off x="7343775" y="28965525"/>
          <a:ext cx="323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152</xdr:row>
      <xdr:rowOff>0</xdr:rowOff>
    </xdr:from>
    <xdr:to>
      <xdr:col>8</xdr:col>
      <xdr:colOff>381000</xdr:colOff>
      <xdr:row>152</xdr:row>
      <xdr:rowOff>0</xdr:rowOff>
    </xdr:to>
    <xdr:sp>
      <xdr:nvSpPr>
        <xdr:cNvPr id="548" name="Rectangle 575"/>
        <xdr:cNvSpPr>
          <a:spLocks/>
        </xdr:cNvSpPr>
      </xdr:nvSpPr>
      <xdr:spPr>
        <a:xfrm>
          <a:off x="6381750" y="28965525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</a:p>
      </xdr:txBody>
    </xdr:sp>
    <xdr:clientData/>
  </xdr:twoCellAnchor>
  <xdr:twoCellAnchor>
    <xdr:from>
      <xdr:col>8</xdr:col>
      <xdr:colOff>123825</xdr:colOff>
      <xdr:row>152</xdr:row>
      <xdr:rowOff>0</xdr:rowOff>
    </xdr:from>
    <xdr:to>
      <xdr:col>8</xdr:col>
      <xdr:colOff>400050</xdr:colOff>
      <xdr:row>152</xdr:row>
      <xdr:rowOff>0</xdr:rowOff>
    </xdr:to>
    <xdr:sp>
      <xdr:nvSpPr>
        <xdr:cNvPr id="549" name="Rectangle 576"/>
        <xdr:cNvSpPr>
          <a:spLocks/>
        </xdr:cNvSpPr>
      </xdr:nvSpPr>
      <xdr:spPr>
        <a:xfrm>
          <a:off x="6467475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152</xdr:row>
      <xdr:rowOff>0</xdr:rowOff>
    </xdr:from>
    <xdr:to>
      <xdr:col>8</xdr:col>
      <xdr:colOff>381000</xdr:colOff>
      <xdr:row>152</xdr:row>
      <xdr:rowOff>0</xdr:rowOff>
    </xdr:to>
    <xdr:sp>
      <xdr:nvSpPr>
        <xdr:cNvPr id="550" name="Rectangle 577"/>
        <xdr:cNvSpPr>
          <a:spLocks/>
        </xdr:cNvSpPr>
      </xdr:nvSpPr>
      <xdr:spPr>
        <a:xfrm>
          <a:off x="6381750" y="28965525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</a:p>
      </xdr:txBody>
    </xdr:sp>
    <xdr:clientData/>
  </xdr:twoCellAnchor>
  <xdr:twoCellAnchor>
    <xdr:from>
      <xdr:col>8</xdr:col>
      <xdr:colOff>123825</xdr:colOff>
      <xdr:row>152</xdr:row>
      <xdr:rowOff>0</xdr:rowOff>
    </xdr:from>
    <xdr:to>
      <xdr:col>8</xdr:col>
      <xdr:colOff>400050</xdr:colOff>
      <xdr:row>152</xdr:row>
      <xdr:rowOff>0</xdr:rowOff>
    </xdr:to>
    <xdr:sp>
      <xdr:nvSpPr>
        <xdr:cNvPr id="551" name="Rectangle 578"/>
        <xdr:cNvSpPr>
          <a:spLocks/>
        </xdr:cNvSpPr>
      </xdr:nvSpPr>
      <xdr:spPr>
        <a:xfrm>
          <a:off x="6467475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152</xdr:row>
      <xdr:rowOff>0</xdr:rowOff>
    </xdr:from>
    <xdr:to>
      <xdr:col>8</xdr:col>
      <xdr:colOff>381000</xdr:colOff>
      <xdr:row>152</xdr:row>
      <xdr:rowOff>0</xdr:rowOff>
    </xdr:to>
    <xdr:sp>
      <xdr:nvSpPr>
        <xdr:cNvPr id="552" name="Rectangle 579"/>
        <xdr:cNvSpPr>
          <a:spLocks/>
        </xdr:cNvSpPr>
      </xdr:nvSpPr>
      <xdr:spPr>
        <a:xfrm>
          <a:off x="6381750" y="28965525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</a:p>
      </xdr:txBody>
    </xdr:sp>
    <xdr:clientData/>
  </xdr:twoCellAnchor>
  <xdr:twoCellAnchor>
    <xdr:from>
      <xdr:col>8</xdr:col>
      <xdr:colOff>123825</xdr:colOff>
      <xdr:row>152</xdr:row>
      <xdr:rowOff>0</xdr:rowOff>
    </xdr:from>
    <xdr:to>
      <xdr:col>8</xdr:col>
      <xdr:colOff>400050</xdr:colOff>
      <xdr:row>152</xdr:row>
      <xdr:rowOff>0</xdr:rowOff>
    </xdr:to>
    <xdr:sp>
      <xdr:nvSpPr>
        <xdr:cNvPr id="553" name="Rectangle 580"/>
        <xdr:cNvSpPr>
          <a:spLocks/>
        </xdr:cNvSpPr>
      </xdr:nvSpPr>
      <xdr:spPr>
        <a:xfrm>
          <a:off x="6467475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85725</xdr:colOff>
      <xdr:row>152</xdr:row>
      <xdr:rowOff>0</xdr:rowOff>
    </xdr:from>
    <xdr:to>
      <xdr:col>10</xdr:col>
      <xdr:colOff>409575</xdr:colOff>
      <xdr:row>152</xdr:row>
      <xdr:rowOff>0</xdr:rowOff>
    </xdr:to>
    <xdr:sp>
      <xdr:nvSpPr>
        <xdr:cNvPr id="554" name="Rectangle 581"/>
        <xdr:cNvSpPr>
          <a:spLocks/>
        </xdr:cNvSpPr>
      </xdr:nvSpPr>
      <xdr:spPr>
        <a:xfrm>
          <a:off x="7343775" y="28965525"/>
          <a:ext cx="323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152</xdr:row>
      <xdr:rowOff>0</xdr:rowOff>
    </xdr:from>
    <xdr:to>
      <xdr:col>8</xdr:col>
      <xdr:colOff>381000</xdr:colOff>
      <xdr:row>152</xdr:row>
      <xdr:rowOff>0</xdr:rowOff>
    </xdr:to>
    <xdr:sp>
      <xdr:nvSpPr>
        <xdr:cNvPr id="555" name="Rectangle 582"/>
        <xdr:cNvSpPr>
          <a:spLocks/>
        </xdr:cNvSpPr>
      </xdr:nvSpPr>
      <xdr:spPr>
        <a:xfrm>
          <a:off x="6381750" y="28965525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</a:p>
      </xdr:txBody>
    </xdr:sp>
    <xdr:clientData/>
  </xdr:twoCellAnchor>
  <xdr:twoCellAnchor>
    <xdr:from>
      <xdr:col>10</xdr:col>
      <xdr:colOff>38100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556" name="Rectangle 583"/>
        <xdr:cNvSpPr>
          <a:spLocks/>
        </xdr:cNvSpPr>
      </xdr:nvSpPr>
      <xdr:spPr>
        <a:xfrm>
          <a:off x="72961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557" name="Rectangle 584"/>
        <xdr:cNvSpPr>
          <a:spLocks/>
        </xdr:cNvSpPr>
      </xdr:nvSpPr>
      <xdr:spPr>
        <a:xfrm>
          <a:off x="81915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558" name="Rectangle 585"/>
        <xdr:cNvSpPr>
          <a:spLocks/>
        </xdr:cNvSpPr>
      </xdr:nvSpPr>
      <xdr:spPr>
        <a:xfrm>
          <a:off x="72961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559" name="Rectangle 586"/>
        <xdr:cNvSpPr>
          <a:spLocks/>
        </xdr:cNvSpPr>
      </xdr:nvSpPr>
      <xdr:spPr>
        <a:xfrm>
          <a:off x="81915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152</xdr:row>
      <xdr:rowOff>0</xdr:rowOff>
    </xdr:from>
    <xdr:to>
      <xdr:col>8</xdr:col>
      <xdr:colOff>314325</xdr:colOff>
      <xdr:row>152</xdr:row>
      <xdr:rowOff>0</xdr:rowOff>
    </xdr:to>
    <xdr:sp>
      <xdr:nvSpPr>
        <xdr:cNvPr id="560" name="Rectangle 587"/>
        <xdr:cNvSpPr>
          <a:spLocks/>
        </xdr:cNvSpPr>
      </xdr:nvSpPr>
      <xdr:spPr>
        <a:xfrm>
          <a:off x="63817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19050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561" name="Rectangle 588"/>
        <xdr:cNvSpPr>
          <a:spLocks/>
        </xdr:cNvSpPr>
      </xdr:nvSpPr>
      <xdr:spPr>
        <a:xfrm>
          <a:off x="72771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38100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562" name="Rectangle 589"/>
        <xdr:cNvSpPr>
          <a:spLocks/>
        </xdr:cNvSpPr>
      </xdr:nvSpPr>
      <xdr:spPr>
        <a:xfrm>
          <a:off x="82105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152</xdr:row>
      <xdr:rowOff>0</xdr:rowOff>
    </xdr:from>
    <xdr:to>
      <xdr:col>8</xdr:col>
      <xdr:colOff>314325</xdr:colOff>
      <xdr:row>152</xdr:row>
      <xdr:rowOff>0</xdr:rowOff>
    </xdr:to>
    <xdr:sp>
      <xdr:nvSpPr>
        <xdr:cNvPr id="563" name="Rectangle 590"/>
        <xdr:cNvSpPr>
          <a:spLocks/>
        </xdr:cNvSpPr>
      </xdr:nvSpPr>
      <xdr:spPr>
        <a:xfrm>
          <a:off x="63817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19050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564" name="Rectangle 591"/>
        <xdr:cNvSpPr>
          <a:spLocks/>
        </xdr:cNvSpPr>
      </xdr:nvSpPr>
      <xdr:spPr>
        <a:xfrm>
          <a:off x="72771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38100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565" name="Rectangle 592"/>
        <xdr:cNvSpPr>
          <a:spLocks/>
        </xdr:cNvSpPr>
      </xdr:nvSpPr>
      <xdr:spPr>
        <a:xfrm>
          <a:off x="82105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152</xdr:row>
      <xdr:rowOff>0</xdr:rowOff>
    </xdr:from>
    <xdr:to>
      <xdr:col>8</xdr:col>
      <xdr:colOff>314325</xdr:colOff>
      <xdr:row>152</xdr:row>
      <xdr:rowOff>0</xdr:rowOff>
    </xdr:to>
    <xdr:sp>
      <xdr:nvSpPr>
        <xdr:cNvPr id="566" name="Rectangle 593"/>
        <xdr:cNvSpPr>
          <a:spLocks/>
        </xdr:cNvSpPr>
      </xdr:nvSpPr>
      <xdr:spPr>
        <a:xfrm>
          <a:off x="63817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19050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567" name="Rectangle 594"/>
        <xdr:cNvSpPr>
          <a:spLocks/>
        </xdr:cNvSpPr>
      </xdr:nvSpPr>
      <xdr:spPr>
        <a:xfrm>
          <a:off x="72771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568" name="Rectangle 595"/>
        <xdr:cNvSpPr>
          <a:spLocks/>
        </xdr:cNvSpPr>
      </xdr:nvSpPr>
      <xdr:spPr>
        <a:xfrm>
          <a:off x="72961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569" name="Rectangle 596"/>
        <xdr:cNvSpPr>
          <a:spLocks/>
        </xdr:cNvSpPr>
      </xdr:nvSpPr>
      <xdr:spPr>
        <a:xfrm>
          <a:off x="81915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6</xdr:col>
      <xdr:colOff>38100</xdr:colOff>
      <xdr:row>152</xdr:row>
      <xdr:rowOff>0</xdr:rowOff>
    </xdr:from>
    <xdr:to>
      <xdr:col>6</xdr:col>
      <xdr:colOff>314325</xdr:colOff>
      <xdr:row>152</xdr:row>
      <xdr:rowOff>0</xdr:rowOff>
    </xdr:to>
    <xdr:sp>
      <xdr:nvSpPr>
        <xdr:cNvPr id="570" name="Rectangle 597"/>
        <xdr:cNvSpPr>
          <a:spLocks/>
        </xdr:cNvSpPr>
      </xdr:nvSpPr>
      <xdr:spPr>
        <a:xfrm>
          <a:off x="54673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571" name="Rectangle 598"/>
        <xdr:cNvSpPr>
          <a:spLocks/>
        </xdr:cNvSpPr>
      </xdr:nvSpPr>
      <xdr:spPr>
        <a:xfrm>
          <a:off x="81915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19050</xdr:colOff>
      <xdr:row>152</xdr:row>
      <xdr:rowOff>0</xdr:rowOff>
    </xdr:from>
    <xdr:to>
      <xdr:col>8</xdr:col>
      <xdr:colOff>314325</xdr:colOff>
      <xdr:row>152</xdr:row>
      <xdr:rowOff>0</xdr:rowOff>
    </xdr:to>
    <xdr:sp>
      <xdr:nvSpPr>
        <xdr:cNvPr id="572" name="Rectangle 599"/>
        <xdr:cNvSpPr>
          <a:spLocks/>
        </xdr:cNvSpPr>
      </xdr:nvSpPr>
      <xdr:spPr>
        <a:xfrm>
          <a:off x="63627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573" name="Rectangle 600"/>
        <xdr:cNvSpPr>
          <a:spLocks/>
        </xdr:cNvSpPr>
      </xdr:nvSpPr>
      <xdr:spPr>
        <a:xfrm>
          <a:off x="72961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574" name="Rectangle 601"/>
        <xdr:cNvSpPr>
          <a:spLocks/>
        </xdr:cNvSpPr>
      </xdr:nvSpPr>
      <xdr:spPr>
        <a:xfrm>
          <a:off x="72961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575" name="Rectangle 602"/>
        <xdr:cNvSpPr>
          <a:spLocks/>
        </xdr:cNvSpPr>
      </xdr:nvSpPr>
      <xdr:spPr>
        <a:xfrm>
          <a:off x="81915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152</xdr:row>
      <xdr:rowOff>0</xdr:rowOff>
    </xdr:from>
    <xdr:to>
      <xdr:col>8</xdr:col>
      <xdr:colOff>314325</xdr:colOff>
      <xdr:row>152</xdr:row>
      <xdr:rowOff>0</xdr:rowOff>
    </xdr:to>
    <xdr:sp>
      <xdr:nvSpPr>
        <xdr:cNvPr id="576" name="Rectangle 603"/>
        <xdr:cNvSpPr>
          <a:spLocks/>
        </xdr:cNvSpPr>
      </xdr:nvSpPr>
      <xdr:spPr>
        <a:xfrm>
          <a:off x="63817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19050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577" name="Rectangle 604"/>
        <xdr:cNvSpPr>
          <a:spLocks/>
        </xdr:cNvSpPr>
      </xdr:nvSpPr>
      <xdr:spPr>
        <a:xfrm>
          <a:off x="72771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38100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578" name="Rectangle 605"/>
        <xdr:cNvSpPr>
          <a:spLocks/>
        </xdr:cNvSpPr>
      </xdr:nvSpPr>
      <xdr:spPr>
        <a:xfrm>
          <a:off x="82105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152</xdr:row>
      <xdr:rowOff>0</xdr:rowOff>
    </xdr:from>
    <xdr:to>
      <xdr:col>8</xdr:col>
      <xdr:colOff>314325</xdr:colOff>
      <xdr:row>152</xdr:row>
      <xdr:rowOff>0</xdr:rowOff>
    </xdr:to>
    <xdr:sp>
      <xdr:nvSpPr>
        <xdr:cNvPr id="579" name="Rectangle 606"/>
        <xdr:cNvSpPr>
          <a:spLocks/>
        </xdr:cNvSpPr>
      </xdr:nvSpPr>
      <xdr:spPr>
        <a:xfrm>
          <a:off x="63817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19050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580" name="Rectangle 607"/>
        <xdr:cNvSpPr>
          <a:spLocks/>
        </xdr:cNvSpPr>
      </xdr:nvSpPr>
      <xdr:spPr>
        <a:xfrm>
          <a:off x="72771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38100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581" name="Rectangle 608"/>
        <xdr:cNvSpPr>
          <a:spLocks/>
        </xdr:cNvSpPr>
      </xdr:nvSpPr>
      <xdr:spPr>
        <a:xfrm>
          <a:off x="82105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582" name="Rectangle 609"/>
        <xdr:cNvSpPr>
          <a:spLocks/>
        </xdr:cNvSpPr>
      </xdr:nvSpPr>
      <xdr:spPr>
        <a:xfrm>
          <a:off x="72961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583" name="Rectangle 610"/>
        <xdr:cNvSpPr>
          <a:spLocks/>
        </xdr:cNvSpPr>
      </xdr:nvSpPr>
      <xdr:spPr>
        <a:xfrm>
          <a:off x="81915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584" name="Rectangle 611"/>
        <xdr:cNvSpPr>
          <a:spLocks/>
        </xdr:cNvSpPr>
      </xdr:nvSpPr>
      <xdr:spPr>
        <a:xfrm>
          <a:off x="72961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585" name="Rectangle 612"/>
        <xdr:cNvSpPr>
          <a:spLocks/>
        </xdr:cNvSpPr>
      </xdr:nvSpPr>
      <xdr:spPr>
        <a:xfrm>
          <a:off x="81915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586" name="Rectangle 613"/>
        <xdr:cNvSpPr>
          <a:spLocks/>
        </xdr:cNvSpPr>
      </xdr:nvSpPr>
      <xdr:spPr>
        <a:xfrm>
          <a:off x="72961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587" name="Rectangle 614"/>
        <xdr:cNvSpPr>
          <a:spLocks/>
        </xdr:cNvSpPr>
      </xdr:nvSpPr>
      <xdr:spPr>
        <a:xfrm>
          <a:off x="81915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123825</xdr:colOff>
      <xdr:row>152</xdr:row>
      <xdr:rowOff>0</xdr:rowOff>
    </xdr:from>
    <xdr:to>
      <xdr:col>8</xdr:col>
      <xdr:colOff>400050</xdr:colOff>
      <xdr:row>152</xdr:row>
      <xdr:rowOff>0</xdr:rowOff>
    </xdr:to>
    <xdr:sp>
      <xdr:nvSpPr>
        <xdr:cNvPr id="588" name="Rectangle 615"/>
        <xdr:cNvSpPr>
          <a:spLocks/>
        </xdr:cNvSpPr>
      </xdr:nvSpPr>
      <xdr:spPr>
        <a:xfrm>
          <a:off x="6467475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85725</xdr:colOff>
      <xdr:row>152</xdr:row>
      <xdr:rowOff>0</xdr:rowOff>
    </xdr:from>
    <xdr:to>
      <xdr:col>10</xdr:col>
      <xdr:colOff>409575</xdr:colOff>
      <xdr:row>152</xdr:row>
      <xdr:rowOff>0</xdr:rowOff>
    </xdr:to>
    <xdr:sp>
      <xdr:nvSpPr>
        <xdr:cNvPr id="589" name="Rectangle 616"/>
        <xdr:cNvSpPr>
          <a:spLocks/>
        </xdr:cNvSpPr>
      </xdr:nvSpPr>
      <xdr:spPr>
        <a:xfrm>
          <a:off x="7343775" y="28965525"/>
          <a:ext cx="323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152</xdr:row>
      <xdr:rowOff>0</xdr:rowOff>
    </xdr:from>
    <xdr:to>
      <xdr:col>8</xdr:col>
      <xdr:colOff>381000</xdr:colOff>
      <xdr:row>152</xdr:row>
      <xdr:rowOff>0</xdr:rowOff>
    </xdr:to>
    <xdr:sp>
      <xdr:nvSpPr>
        <xdr:cNvPr id="590" name="Rectangle 617"/>
        <xdr:cNvSpPr>
          <a:spLocks/>
        </xdr:cNvSpPr>
      </xdr:nvSpPr>
      <xdr:spPr>
        <a:xfrm>
          <a:off x="6381750" y="28965525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</a:p>
      </xdr:txBody>
    </xdr:sp>
    <xdr:clientData/>
  </xdr:twoCellAnchor>
  <xdr:twoCellAnchor>
    <xdr:from>
      <xdr:col>8</xdr:col>
      <xdr:colOff>123825</xdr:colOff>
      <xdr:row>152</xdr:row>
      <xdr:rowOff>0</xdr:rowOff>
    </xdr:from>
    <xdr:to>
      <xdr:col>8</xdr:col>
      <xdr:colOff>400050</xdr:colOff>
      <xdr:row>152</xdr:row>
      <xdr:rowOff>0</xdr:rowOff>
    </xdr:to>
    <xdr:sp>
      <xdr:nvSpPr>
        <xdr:cNvPr id="591" name="Rectangle 618"/>
        <xdr:cNvSpPr>
          <a:spLocks/>
        </xdr:cNvSpPr>
      </xdr:nvSpPr>
      <xdr:spPr>
        <a:xfrm>
          <a:off x="6467475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152</xdr:row>
      <xdr:rowOff>0</xdr:rowOff>
    </xdr:from>
    <xdr:to>
      <xdr:col>8</xdr:col>
      <xdr:colOff>381000</xdr:colOff>
      <xdr:row>152</xdr:row>
      <xdr:rowOff>0</xdr:rowOff>
    </xdr:to>
    <xdr:sp>
      <xdr:nvSpPr>
        <xdr:cNvPr id="592" name="Rectangle 619"/>
        <xdr:cNvSpPr>
          <a:spLocks/>
        </xdr:cNvSpPr>
      </xdr:nvSpPr>
      <xdr:spPr>
        <a:xfrm>
          <a:off x="6381750" y="28965525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</a:p>
      </xdr:txBody>
    </xdr:sp>
    <xdr:clientData/>
  </xdr:twoCellAnchor>
  <xdr:twoCellAnchor>
    <xdr:from>
      <xdr:col>8</xdr:col>
      <xdr:colOff>123825</xdr:colOff>
      <xdr:row>152</xdr:row>
      <xdr:rowOff>0</xdr:rowOff>
    </xdr:from>
    <xdr:to>
      <xdr:col>8</xdr:col>
      <xdr:colOff>400050</xdr:colOff>
      <xdr:row>152</xdr:row>
      <xdr:rowOff>0</xdr:rowOff>
    </xdr:to>
    <xdr:sp>
      <xdr:nvSpPr>
        <xdr:cNvPr id="593" name="Rectangle 620"/>
        <xdr:cNvSpPr>
          <a:spLocks/>
        </xdr:cNvSpPr>
      </xdr:nvSpPr>
      <xdr:spPr>
        <a:xfrm>
          <a:off x="6467475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152</xdr:row>
      <xdr:rowOff>0</xdr:rowOff>
    </xdr:from>
    <xdr:to>
      <xdr:col>8</xdr:col>
      <xdr:colOff>381000</xdr:colOff>
      <xdr:row>152</xdr:row>
      <xdr:rowOff>0</xdr:rowOff>
    </xdr:to>
    <xdr:sp>
      <xdr:nvSpPr>
        <xdr:cNvPr id="594" name="Rectangle 621"/>
        <xdr:cNvSpPr>
          <a:spLocks/>
        </xdr:cNvSpPr>
      </xdr:nvSpPr>
      <xdr:spPr>
        <a:xfrm>
          <a:off x="6381750" y="28965525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</a:p>
      </xdr:txBody>
    </xdr:sp>
    <xdr:clientData/>
  </xdr:twoCellAnchor>
  <xdr:twoCellAnchor>
    <xdr:from>
      <xdr:col>8</xdr:col>
      <xdr:colOff>123825</xdr:colOff>
      <xdr:row>152</xdr:row>
      <xdr:rowOff>0</xdr:rowOff>
    </xdr:from>
    <xdr:to>
      <xdr:col>8</xdr:col>
      <xdr:colOff>400050</xdr:colOff>
      <xdr:row>152</xdr:row>
      <xdr:rowOff>0</xdr:rowOff>
    </xdr:to>
    <xdr:sp>
      <xdr:nvSpPr>
        <xdr:cNvPr id="595" name="Rectangle 622"/>
        <xdr:cNvSpPr>
          <a:spLocks/>
        </xdr:cNvSpPr>
      </xdr:nvSpPr>
      <xdr:spPr>
        <a:xfrm>
          <a:off x="6467475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85725</xdr:colOff>
      <xdr:row>152</xdr:row>
      <xdr:rowOff>0</xdr:rowOff>
    </xdr:from>
    <xdr:to>
      <xdr:col>10</xdr:col>
      <xdr:colOff>409575</xdr:colOff>
      <xdr:row>152</xdr:row>
      <xdr:rowOff>0</xdr:rowOff>
    </xdr:to>
    <xdr:sp>
      <xdr:nvSpPr>
        <xdr:cNvPr id="596" name="Rectangle 623"/>
        <xdr:cNvSpPr>
          <a:spLocks/>
        </xdr:cNvSpPr>
      </xdr:nvSpPr>
      <xdr:spPr>
        <a:xfrm>
          <a:off x="7343775" y="28965525"/>
          <a:ext cx="323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152</xdr:row>
      <xdr:rowOff>0</xdr:rowOff>
    </xdr:from>
    <xdr:to>
      <xdr:col>8</xdr:col>
      <xdr:colOff>381000</xdr:colOff>
      <xdr:row>152</xdr:row>
      <xdr:rowOff>0</xdr:rowOff>
    </xdr:to>
    <xdr:sp>
      <xdr:nvSpPr>
        <xdr:cNvPr id="597" name="Rectangle 624"/>
        <xdr:cNvSpPr>
          <a:spLocks/>
        </xdr:cNvSpPr>
      </xdr:nvSpPr>
      <xdr:spPr>
        <a:xfrm>
          <a:off x="6381750" y="28965525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</a:p>
      </xdr:txBody>
    </xdr:sp>
    <xdr:clientData/>
  </xdr:twoCellAnchor>
  <xdr:twoCellAnchor>
    <xdr:from>
      <xdr:col>10</xdr:col>
      <xdr:colOff>38100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598" name="Rectangle 625"/>
        <xdr:cNvSpPr>
          <a:spLocks/>
        </xdr:cNvSpPr>
      </xdr:nvSpPr>
      <xdr:spPr>
        <a:xfrm>
          <a:off x="72961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599" name="Rectangle 626"/>
        <xdr:cNvSpPr>
          <a:spLocks/>
        </xdr:cNvSpPr>
      </xdr:nvSpPr>
      <xdr:spPr>
        <a:xfrm>
          <a:off x="81915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600" name="Rectangle 627"/>
        <xdr:cNvSpPr>
          <a:spLocks/>
        </xdr:cNvSpPr>
      </xdr:nvSpPr>
      <xdr:spPr>
        <a:xfrm>
          <a:off x="72961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601" name="Rectangle 628"/>
        <xdr:cNvSpPr>
          <a:spLocks/>
        </xdr:cNvSpPr>
      </xdr:nvSpPr>
      <xdr:spPr>
        <a:xfrm>
          <a:off x="81915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152</xdr:row>
      <xdr:rowOff>0</xdr:rowOff>
    </xdr:from>
    <xdr:to>
      <xdr:col>8</xdr:col>
      <xdr:colOff>314325</xdr:colOff>
      <xdr:row>152</xdr:row>
      <xdr:rowOff>0</xdr:rowOff>
    </xdr:to>
    <xdr:sp>
      <xdr:nvSpPr>
        <xdr:cNvPr id="602" name="Rectangle 629"/>
        <xdr:cNvSpPr>
          <a:spLocks/>
        </xdr:cNvSpPr>
      </xdr:nvSpPr>
      <xdr:spPr>
        <a:xfrm>
          <a:off x="63817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19050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603" name="Rectangle 630"/>
        <xdr:cNvSpPr>
          <a:spLocks/>
        </xdr:cNvSpPr>
      </xdr:nvSpPr>
      <xdr:spPr>
        <a:xfrm>
          <a:off x="72771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38100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604" name="Rectangle 631"/>
        <xdr:cNvSpPr>
          <a:spLocks/>
        </xdr:cNvSpPr>
      </xdr:nvSpPr>
      <xdr:spPr>
        <a:xfrm>
          <a:off x="82105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152</xdr:row>
      <xdr:rowOff>0</xdr:rowOff>
    </xdr:from>
    <xdr:to>
      <xdr:col>8</xdr:col>
      <xdr:colOff>314325</xdr:colOff>
      <xdr:row>152</xdr:row>
      <xdr:rowOff>0</xdr:rowOff>
    </xdr:to>
    <xdr:sp>
      <xdr:nvSpPr>
        <xdr:cNvPr id="605" name="Rectangle 632"/>
        <xdr:cNvSpPr>
          <a:spLocks/>
        </xdr:cNvSpPr>
      </xdr:nvSpPr>
      <xdr:spPr>
        <a:xfrm>
          <a:off x="63817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19050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606" name="Rectangle 633"/>
        <xdr:cNvSpPr>
          <a:spLocks/>
        </xdr:cNvSpPr>
      </xdr:nvSpPr>
      <xdr:spPr>
        <a:xfrm>
          <a:off x="72771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38100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607" name="Rectangle 634"/>
        <xdr:cNvSpPr>
          <a:spLocks/>
        </xdr:cNvSpPr>
      </xdr:nvSpPr>
      <xdr:spPr>
        <a:xfrm>
          <a:off x="82105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152</xdr:row>
      <xdr:rowOff>0</xdr:rowOff>
    </xdr:from>
    <xdr:to>
      <xdr:col>8</xdr:col>
      <xdr:colOff>314325</xdr:colOff>
      <xdr:row>152</xdr:row>
      <xdr:rowOff>0</xdr:rowOff>
    </xdr:to>
    <xdr:sp>
      <xdr:nvSpPr>
        <xdr:cNvPr id="608" name="Rectangle 635"/>
        <xdr:cNvSpPr>
          <a:spLocks/>
        </xdr:cNvSpPr>
      </xdr:nvSpPr>
      <xdr:spPr>
        <a:xfrm>
          <a:off x="63817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19050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609" name="Rectangle 636"/>
        <xdr:cNvSpPr>
          <a:spLocks/>
        </xdr:cNvSpPr>
      </xdr:nvSpPr>
      <xdr:spPr>
        <a:xfrm>
          <a:off x="72771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610" name="Rectangle 637"/>
        <xdr:cNvSpPr>
          <a:spLocks/>
        </xdr:cNvSpPr>
      </xdr:nvSpPr>
      <xdr:spPr>
        <a:xfrm>
          <a:off x="72961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611" name="Rectangle 638"/>
        <xdr:cNvSpPr>
          <a:spLocks/>
        </xdr:cNvSpPr>
      </xdr:nvSpPr>
      <xdr:spPr>
        <a:xfrm>
          <a:off x="81915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6</xdr:col>
      <xdr:colOff>38100</xdr:colOff>
      <xdr:row>152</xdr:row>
      <xdr:rowOff>0</xdr:rowOff>
    </xdr:from>
    <xdr:to>
      <xdr:col>6</xdr:col>
      <xdr:colOff>314325</xdr:colOff>
      <xdr:row>152</xdr:row>
      <xdr:rowOff>0</xdr:rowOff>
    </xdr:to>
    <xdr:sp>
      <xdr:nvSpPr>
        <xdr:cNvPr id="612" name="Rectangle 639"/>
        <xdr:cNvSpPr>
          <a:spLocks/>
        </xdr:cNvSpPr>
      </xdr:nvSpPr>
      <xdr:spPr>
        <a:xfrm>
          <a:off x="54673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6</xdr:col>
      <xdr:colOff>19050</xdr:colOff>
      <xdr:row>152</xdr:row>
      <xdr:rowOff>0</xdr:rowOff>
    </xdr:from>
    <xdr:to>
      <xdr:col>6</xdr:col>
      <xdr:colOff>314325</xdr:colOff>
      <xdr:row>152</xdr:row>
      <xdr:rowOff>0</xdr:rowOff>
    </xdr:to>
    <xdr:sp>
      <xdr:nvSpPr>
        <xdr:cNvPr id="613" name="Rectangle 640"/>
        <xdr:cNvSpPr>
          <a:spLocks/>
        </xdr:cNvSpPr>
      </xdr:nvSpPr>
      <xdr:spPr>
        <a:xfrm>
          <a:off x="54483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38100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614" name="Rectangle 641"/>
        <xdr:cNvSpPr>
          <a:spLocks/>
        </xdr:cNvSpPr>
      </xdr:nvSpPr>
      <xdr:spPr>
        <a:xfrm>
          <a:off x="82105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19050</xdr:colOff>
      <xdr:row>152</xdr:row>
      <xdr:rowOff>0</xdr:rowOff>
    </xdr:from>
    <xdr:to>
      <xdr:col>8</xdr:col>
      <xdr:colOff>314325</xdr:colOff>
      <xdr:row>152</xdr:row>
      <xdr:rowOff>0</xdr:rowOff>
    </xdr:to>
    <xdr:sp>
      <xdr:nvSpPr>
        <xdr:cNvPr id="615" name="Rectangle 642"/>
        <xdr:cNvSpPr>
          <a:spLocks/>
        </xdr:cNvSpPr>
      </xdr:nvSpPr>
      <xdr:spPr>
        <a:xfrm>
          <a:off x="63627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616" name="Rectangle 643"/>
        <xdr:cNvSpPr>
          <a:spLocks/>
        </xdr:cNvSpPr>
      </xdr:nvSpPr>
      <xdr:spPr>
        <a:xfrm>
          <a:off x="72961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617" name="Rectangle 644"/>
        <xdr:cNvSpPr>
          <a:spLocks/>
        </xdr:cNvSpPr>
      </xdr:nvSpPr>
      <xdr:spPr>
        <a:xfrm>
          <a:off x="72961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618" name="Rectangle 645"/>
        <xdr:cNvSpPr>
          <a:spLocks/>
        </xdr:cNvSpPr>
      </xdr:nvSpPr>
      <xdr:spPr>
        <a:xfrm>
          <a:off x="81915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152</xdr:row>
      <xdr:rowOff>0</xdr:rowOff>
    </xdr:from>
    <xdr:to>
      <xdr:col>8</xdr:col>
      <xdr:colOff>314325</xdr:colOff>
      <xdr:row>152</xdr:row>
      <xdr:rowOff>0</xdr:rowOff>
    </xdr:to>
    <xdr:sp>
      <xdr:nvSpPr>
        <xdr:cNvPr id="619" name="Rectangle 646"/>
        <xdr:cNvSpPr>
          <a:spLocks/>
        </xdr:cNvSpPr>
      </xdr:nvSpPr>
      <xdr:spPr>
        <a:xfrm>
          <a:off x="63817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19050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620" name="Rectangle 647"/>
        <xdr:cNvSpPr>
          <a:spLocks/>
        </xdr:cNvSpPr>
      </xdr:nvSpPr>
      <xdr:spPr>
        <a:xfrm>
          <a:off x="72771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38100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621" name="Rectangle 648"/>
        <xdr:cNvSpPr>
          <a:spLocks/>
        </xdr:cNvSpPr>
      </xdr:nvSpPr>
      <xdr:spPr>
        <a:xfrm>
          <a:off x="82105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152</xdr:row>
      <xdr:rowOff>0</xdr:rowOff>
    </xdr:from>
    <xdr:to>
      <xdr:col>8</xdr:col>
      <xdr:colOff>314325</xdr:colOff>
      <xdr:row>152</xdr:row>
      <xdr:rowOff>0</xdr:rowOff>
    </xdr:to>
    <xdr:sp>
      <xdr:nvSpPr>
        <xdr:cNvPr id="622" name="Rectangle 649"/>
        <xdr:cNvSpPr>
          <a:spLocks/>
        </xdr:cNvSpPr>
      </xdr:nvSpPr>
      <xdr:spPr>
        <a:xfrm>
          <a:off x="63817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19050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623" name="Rectangle 650"/>
        <xdr:cNvSpPr>
          <a:spLocks/>
        </xdr:cNvSpPr>
      </xdr:nvSpPr>
      <xdr:spPr>
        <a:xfrm>
          <a:off x="72771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38100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624" name="Rectangle 651"/>
        <xdr:cNvSpPr>
          <a:spLocks/>
        </xdr:cNvSpPr>
      </xdr:nvSpPr>
      <xdr:spPr>
        <a:xfrm>
          <a:off x="82105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625" name="Rectangle 652"/>
        <xdr:cNvSpPr>
          <a:spLocks/>
        </xdr:cNvSpPr>
      </xdr:nvSpPr>
      <xdr:spPr>
        <a:xfrm>
          <a:off x="72961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626" name="Rectangle 653"/>
        <xdr:cNvSpPr>
          <a:spLocks/>
        </xdr:cNvSpPr>
      </xdr:nvSpPr>
      <xdr:spPr>
        <a:xfrm>
          <a:off x="81915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627" name="Rectangle 654"/>
        <xdr:cNvSpPr>
          <a:spLocks/>
        </xdr:cNvSpPr>
      </xdr:nvSpPr>
      <xdr:spPr>
        <a:xfrm>
          <a:off x="72961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628" name="Rectangle 655"/>
        <xdr:cNvSpPr>
          <a:spLocks/>
        </xdr:cNvSpPr>
      </xdr:nvSpPr>
      <xdr:spPr>
        <a:xfrm>
          <a:off x="81915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629" name="Rectangle 656"/>
        <xdr:cNvSpPr>
          <a:spLocks/>
        </xdr:cNvSpPr>
      </xdr:nvSpPr>
      <xdr:spPr>
        <a:xfrm>
          <a:off x="72961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630" name="Rectangle 657"/>
        <xdr:cNvSpPr>
          <a:spLocks/>
        </xdr:cNvSpPr>
      </xdr:nvSpPr>
      <xdr:spPr>
        <a:xfrm>
          <a:off x="81915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123825</xdr:colOff>
      <xdr:row>152</xdr:row>
      <xdr:rowOff>0</xdr:rowOff>
    </xdr:from>
    <xdr:to>
      <xdr:col>8</xdr:col>
      <xdr:colOff>400050</xdr:colOff>
      <xdr:row>152</xdr:row>
      <xdr:rowOff>0</xdr:rowOff>
    </xdr:to>
    <xdr:sp>
      <xdr:nvSpPr>
        <xdr:cNvPr id="631" name="Rectangle 658"/>
        <xdr:cNvSpPr>
          <a:spLocks/>
        </xdr:cNvSpPr>
      </xdr:nvSpPr>
      <xdr:spPr>
        <a:xfrm>
          <a:off x="6467475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85725</xdr:colOff>
      <xdr:row>152</xdr:row>
      <xdr:rowOff>0</xdr:rowOff>
    </xdr:from>
    <xdr:to>
      <xdr:col>10</xdr:col>
      <xdr:colOff>409575</xdr:colOff>
      <xdr:row>152</xdr:row>
      <xdr:rowOff>0</xdr:rowOff>
    </xdr:to>
    <xdr:sp>
      <xdr:nvSpPr>
        <xdr:cNvPr id="632" name="Rectangle 659"/>
        <xdr:cNvSpPr>
          <a:spLocks/>
        </xdr:cNvSpPr>
      </xdr:nvSpPr>
      <xdr:spPr>
        <a:xfrm>
          <a:off x="7343775" y="28965525"/>
          <a:ext cx="323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152</xdr:row>
      <xdr:rowOff>0</xdr:rowOff>
    </xdr:from>
    <xdr:to>
      <xdr:col>8</xdr:col>
      <xdr:colOff>381000</xdr:colOff>
      <xdr:row>152</xdr:row>
      <xdr:rowOff>0</xdr:rowOff>
    </xdr:to>
    <xdr:sp>
      <xdr:nvSpPr>
        <xdr:cNvPr id="633" name="Rectangle 660"/>
        <xdr:cNvSpPr>
          <a:spLocks/>
        </xdr:cNvSpPr>
      </xdr:nvSpPr>
      <xdr:spPr>
        <a:xfrm>
          <a:off x="6381750" y="28965525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</a:p>
      </xdr:txBody>
    </xdr:sp>
    <xdr:clientData/>
  </xdr:twoCellAnchor>
  <xdr:twoCellAnchor>
    <xdr:from>
      <xdr:col>8</xdr:col>
      <xdr:colOff>123825</xdr:colOff>
      <xdr:row>152</xdr:row>
      <xdr:rowOff>0</xdr:rowOff>
    </xdr:from>
    <xdr:to>
      <xdr:col>8</xdr:col>
      <xdr:colOff>400050</xdr:colOff>
      <xdr:row>152</xdr:row>
      <xdr:rowOff>0</xdr:rowOff>
    </xdr:to>
    <xdr:sp>
      <xdr:nvSpPr>
        <xdr:cNvPr id="634" name="Rectangle 661"/>
        <xdr:cNvSpPr>
          <a:spLocks/>
        </xdr:cNvSpPr>
      </xdr:nvSpPr>
      <xdr:spPr>
        <a:xfrm>
          <a:off x="6467475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152</xdr:row>
      <xdr:rowOff>0</xdr:rowOff>
    </xdr:from>
    <xdr:to>
      <xdr:col>8</xdr:col>
      <xdr:colOff>381000</xdr:colOff>
      <xdr:row>152</xdr:row>
      <xdr:rowOff>0</xdr:rowOff>
    </xdr:to>
    <xdr:sp>
      <xdr:nvSpPr>
        <xdr:cNvPr id="635" name="Rectangle 662"/>
        <xdr:cNvSpPr>
          <a:spLocks/>
        </xdr:cNvSpPr>
      </xdr:nvSpPr>
      <xdr:spPr>
        <a:xfrm>
          <a:off x="6381750" y="28965525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</a:p>
      </xdr:txBody>
    </xdr:sp>
    <xdr:clientData/>
  </xdr:twoCellAnchor>
  <xdr:twoCellAnchor>
    <xdr:from>
      <xdr:col>8</xdr:col>
      <xdr:colOff>123825</xdr:colOff>
      <xdr:row>152</xdr:row>
      <xdr:rowOff>0</xdr:rowOff>
    </xdr:from>
    <xdr:to>
      <xdr:col>8</xdr:col>
      <xdr:colOff>400050</xdr:colOff>
      <xdr:row>152</xdr:row>
      <xdr:rowOff>0</xdr:rowOff>
    </xdr:to>
    <xdr:sp>
      <xdr:nvSpPr>
        <xdr:cNvPr id="636" name="Rectangle 663"/>
        <xdr:cNvSpPr>
          <a:spLocks/>
        </xdr:cNvSpPr>
      </xdr:nvSpPr>
      <xdr:spPr>
        <a:xfrm>
          <a:off x="6467475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152</xdr:row>
      <xdr:rowOff>0</xdr:rowOff>
    </xdr:from>
    <xdr:to>
      <xdr:col>8</xdr:col>
      <xdr:colOff>381000</xdr:colOff>
      <xdr:row>152</xdr:row>
      <xdr:rowOff>0</xdr:rowOff>
    </xdr:to>
    <xdr:sp>
      <xdr:nvSpPr>
        <xdr:cNvPr id="637" name="Rectangle 664"/>
        <xdr:cNvSpPr>
          <a:spLocks/>
        </xdr:cNvSpPr>
      </xdr:nvSpPr>
      <xdr:spPr>
        <a:xfrm>
          <a:off x="6381750" y="28965525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</a:p>
      </xdr:txBody>
    </xdr:sp>
    <xdr:clientData/>
  </xdr:twoCellAnchor>
  <xdr:twoCellAnchor>
    <xdr:from>
      <xdr:col>8</xdr:col>
      <xdr:colOff>123825</xdr:colOff>
      <xdr:row>152</xdr:row>
      <xdr:rowOff>0</xdr:rowOff>
    </xdr:from>
    <xdr:to>
      <xdr:col>8</xdr:col>
      <xdr:colOff>400050</xdr:colOff>
      <xdr:row>152</xdr:row>
      <xdr:rowOff>0</xdr:rowOff>
    </xdr:to>
    <xdr:sp>
      <xdr:nvSpPr>
        <xdr:cNvPr id="638" name="Rectangle 665"/>
        <xdr:cNvSpPr>
          <a:spLocks/>
        </xdr:cNvSpPr>
      </xdr:nvSpPr>
      <xdr:spPr>
        <a:xfrm>
          <a:off x="6467475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85725</xdr:colOff>
      <xdr:row>152</xdr:row>
      <xdr:rowOff>0</xdr:rowOff>
    </xdr:from>
    <xdr:to>
      <xdr:col>10</xdr:col>
      <xdr:colOff>409575</xdr:colOff>
      <xdr:row>152</xdr:row>
      <xdr:rowOff>0</xdr:rowOff>
    </xdr:to>
    <xdr:sp>
      <xdr:nvSpPr>
        <xdr:cNvPr id="639" name="Rectangle 666"/>
        <xdr:cNvSpPr>
          <a:spLocks/>
        </xdr:cNvSpPr>
      </xdr:nvSpPr>
      <xdr:spPr>
        <a:xfrm>
          <a:off x="7343775" y="28965525"/>
          <a:ext cx="323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152</xdr:row>
      <xdr:rowOff>0</xdr:rowOff>
    </xdr:from>
    <xdr:to>
      <xdr:col>8</xdr:col>
      <xdr:colOff>381000</xdr:colOff>
      <xdr:row>152</xdr:row>
      <xdr:rowOff>0</xdr:rowOff>
    </xdr:to>
    <xdr:sp>
      <xdr:nvSpPr>
        <xdr:cNvPr id="640" name="Rectangle 667"/>
        <xdr:cNvSpPr>
          <a:spLocks/>
        </xdr:cNvSpPr>
      </xdr:nvSpPr>
      <xdr:spPr>
        <a:xfrm>
          <a:off x="6381750" y="28965525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</a:p>
      </xdr:txBody>
    </xdr:sp>
    <xdr:clientData/>
  </xdr:twoCellAnchor>
  <xdr:twoCellAnchor>
    <xdr:from>
      <xdr:col>10</xdr:col>
      <xdr:colOff>38100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641" name="Rectangle 668"/>
        <xdr:cNvSpPr>
          <a:spLocks/>
        </xdr:cNvSpPr>
      </xdr:nvSpPr>
      <xdr:spPr>
        <a:xfrm>
          <a:off x="72961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642" name="Rectangle 669"/>
        <xdr:cNvSpPr>
          <a:spLocks/>
        </xdr:cNvSpPr>
      </xdr:nvSpPr>
      <xdr:spPr>
        <a:xfrm>
          <a:off x="81915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643" name="Rectangle 670"/>
        <xdr:cNvSpPr>
          <a:spLocks/>
        </xdr:cNvSpPr>
      </xdr:nvSpPr>
      <xdr:spPr>
        <a:xfrm>
          <a:off x="72961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644" name="Rectangle 671"/>
        <xdr:cNvSpPr>
          <a:spLocks/>
        </xdr:cNvSpPr>
      </xdr:nvSpPr>
      <xdr:spPr>
        <a:xfrm>
          <a:off x="81915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152</xdr:row>
      <xdr:rowOff>0</xdr:rowOff>
    </xdr:from>
    <xdr:to>
      <xdr:col>8</xdr:col>
      <xdr:colOff>314325</xdr:colOff>
      <xdr:row>152</xdr:row>
      <xdr:rowOff>0</xdr:rowOff>
    </xdr:to>
    <xdr:sp>
      <xdr:nvSpPr>
        <xdr:cNvPr id="645" name="Rectangle 672"/>
        <xdr:cNvSpPr>
          <a:spLocks/>
        </xdr:cNvSpPr>
      </xdr:nvSpPr>
      <xdr:spPr>
        <a:xfrm>
          <a:off x="63817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19050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646" name="Rectangle 673"/>
        <xdr:cNvSpPr>
          <a:spLocks/>
        </xdr:cNvSpPr>
      </xdr:nvSpPr>
      <xdr:spPr>
        <a:xfrm>
          <a:off x="72771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38100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647" name="Rectangle 674"/>
        <xdr:cNvSpPr>
          <a:spLocks/>
        </xdr:cNvSpPr>
      </xdr:nvSpPr>
      <xdr:spPr>
        <a:xfrm>
          <a:off x="82105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152</xdr:row>
      <xdr:rowOff>0</xdr:rowOff>
    </xdr:from>
    <xdr:to>
      <xdr:col>8</xdr:col>
      <xdr:colOff>314325</xdr:colOff>
      <xdr:row>152</xdr:row>
      <xdr:rowOff>0</xdr:rowOff>
    </xdr:to>
    <xdr:sp>
      <xdr:nvSpPr>
        <xdr:cNvPr id="648" name="Rectangle 675"/>
        <xdr:cNvSpPr>
          <a:spLocks/>
        </xdr:cNvSpPr>
      </xdr:nvSpPr>
      <xdr:spPr>
        <a:xfrm>
          <a:off x="63817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19050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649" name="Rectangle 676"/>
        <xdr:cNvSpPr>
          <a:spLocks/>
        </xdr:cNvSpPr>
      </xdr:nvSpPr>
      <xdr:spPr>
        <a:xfrm>
          <a:off x="72771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38100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650" name="Rectangle 677"/>
        <xdr:cNvSpPr>
          <a:spLocks/>
        </xdr:cNvSpPr>
      </xdr:nvSpPr>
      <xdr:spPr>
        <a:xfrm>
          <a:off x="82105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6</xdr:col>
      <xdr:colOff>38100</xdr:colOff>
      <xdr:row>152</xdr:row>
      <xdr:rowOff>0</xdr:rowOff>
    </xdr:from>
    <xdr:to>
      <xdr:col>6</xdr:col>
      <xdr:colOff>314325</xdr:colOff>
      <xdr:row>152</xdr:row>
      <xdr:rowOff>0</xdr:rowOff>
    </xdr:to>
    <xdr:sp>
      <xdr:nvSpPr>
        <xdr:cNvPr id="651" name="Rectangle 678"/>
        <xdr:cNvSpPr>
          <a:spLocks/>
        </xdr:cNvSpPr>
      </xdr:nvSpPr>
      <xdr:spPr>
        <a:xfrm>
          <a:off x="54673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19050</xdr:colOff>
      <xdr:row>152</xdr:row>
      <xdr:rowOff>0</xdr:rowOff>
    </xdr:from>
    <xdr:to>
      <xdr:col>8</xdr:col>
      <xdr:colOff>314325</xdr:colOff>
      <xdr:row>152</xdr:row>
      <xdr:rowOff>0</xdr:rowOff>
    </xdr:to>
    <xdr:sp>
      <xdr:nvSpPr>
        <xdr:cNvPr id="652" name="Rectangle 679"/>
        <xdr:cNvSpPr>
          <a:spLocks/>
        </xdr:cNvSpPr>
      </xdr:nvSpPr>
      <xdr:spPr>
        <a:xfrm>
          <a:off x="63627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653" name="Rectangle 680"/>
        <xdr:cNvSpPr>
          <a:spLocks/>
        </xdr:cNvSpPr>
      </xdr:nvSpPr>
      <xdr:spPr>
        <a:xfrm>
          <a:off x="72961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654" name="Rectangle 681"/>
        <xdr:cNvSpPr>
          <a:spLocks/>
        </xdr:cNvSpPr>
      </xdr:nvSpPr>
      <xdr:spPr>
        <a:xfrm>
          <a:off x="81915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6</xdr:col>
      <xdr:colOff>38100</xdr:colOff>
      <xdr:row>152</xdr:row>
      <xdr:rowOff>0</xdr:rowOff>
    </xdr:from>
    <xdr:to>
      <xdr:col>6</xdr:col>
      <xdr:colOff>314325</xdr:colOff>
      <xdr:row>152</xdr:row>
      <xdr:rowOff>0</xdr:rowOff>
    </xdr:to>
    <xdr:sp>
      <xdr:nvSpPr>
        <xdr:cNvPr id="655" name="Rectangle 682"/>
        <xdr:cNvSpPr>
          <a:spLocks/>
        </xdr:cNvSpPr>
      </xdr:nvSpPr>
      <xdr:spPr>
        <a:xfrm>
          <a:off x="54673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656" name="Rectangle 683"/>
        <xdr:cNvSpPr>
          <a:spLocks/>
        </xdr:cNvSpPr>
      </xdr:nvSpPr>
      <xdr:spPr>
        <a:xfrm>
          <a:off x="81915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6</xdr:col>
      <xdr:colOff>19050</xdr:colOff>
      <xdr:row>152</xdr:row>
      <xdr:rowOff>0</xdr:rowOff>
    </xdr:from>
    <xdr:to>
      <xdr:col>6</xdr:col>
      <xdr:colOff>314325</xdr:colOff>
      <xdr:row>152</xdr:row>
      <xdr:rowOff>0</xdr:rowOff>
    </xdr:to>
    <xdr:sp>
      <xdr:nvSpPr>
        <xdr:cNvPr id="657" name="Rectangle 684"/>
        <xdr:cNvSpPr>
          <a:spLocks/>
        </xdr:cNvSpPr>
      </xdr:nvSpPr>
      <xdr:spPr>
        <a:xfrm>
          <a:off x="54483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152</xdr:row>
      <xdr:rowOff>0</xdr:rowOff>
    </xdr:from>
    <xdr:to>
      <xdr:col>8</xdr:col>
      <xdr:colOff>314325</xdr:colOff>
      <xdr:row>152</xdr:row>
      <xdr:rowOff>0</xdr:rowOff>
    </xdr:to>
    <xdr:sp>
      <xdr:nvSpPr>
        <xdr:cNvPr id="658" name="Rectangle 685"/>
        <xdr:cNvSpPr>
          <a:spLocks/>
        </xdr:cNvSpPr>
      </xdr:nvSpPr>
      <xdr:spPr>
        <a:xfrm>
          <a:off x="63817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659" name="Rectangle 686"/>
        <xdr:cNvSpPr>
          <a:spLocks/>
        </xdr:cNvSpPr>
      </xdr:nvSpPr>
      <xdr:spPr>
        <a:xfrm>
          <a:off x="72961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660" name="Rectangle 687"/>
        <xdr:cNvSpPr>
          <a:spLocks/>
        </xdr:cNvSpPr>
      </xdr:nvSpPr>
      <xdr:spPr>
        <a:xfrm>
          <a:off x="81915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152</xdr:row>
      <xdr:rowOff>0</xdr:rowOff>
    </xdr:from>
    <xdr:to>
      <xdr:col>8</xdr:col>
      <xdr:colOff>314325</xdr:colOff>
      <xdr:row>152</xdr:row>
      <xdr:rowOff>0</xdr:rowOff>
    </xdr:to>
    <xdr:sp>
      <xdr:nvSpPr>
        <xdr:cNvPr id="661" name="Rectangle 688"/>
        <xdr:cNvSpPr>
          <a:spLocks/>
        </xdr:cNvSpPr>
      </xdr:nvSpPr>
      <xdr:spPr>
        <a:xfrm>
          <a:off x="63817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19050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662" name="Rectangle 689"/>
        <xdr:cNvSpPr>
          <a:spLocks/>
        </xdr:cNvSpPr>
      </xdr:nvSpPr>
      <xdr:spPr>
        <a:xfrm>
          <a:off x="72771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38100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663" name="Rectangle 690"/>
        <xdr:cNvSpPr>
          <a:spLocks/>
        </xdr:cNvSpPr>
      </xdr:nvSpPr>
      <xdr:spPr>
        <a:xfrm>
          <a:off x="82105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152</xdr:row>
      <xdr:rowOff>0</xdr:rowOff>
    </xdr:from>
    <xdr:to>
      <xdr:col>8</xdr:col>
      <xdr:colOff>314325</xdr:colOff>
      <xdr:row>152</xdr:row>
      <xdr:rowOff>0</xdr:rowOff>
    </xdr:to>
    <xdr:sp>
      <xdr:nvSpPr>
        <xdr:cNvPr id="664" name="Rectangle 691"/>
        <xdr:cNvSpPr>
          <a:spLocks/>
        </xdr:cNvSpPr>
      </xdr:nvSpPr>
      <xdr:spPr>
        <a:xfrm>
          <a:off x="63817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19050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665" name="Rectangle 692"/>
        <xdr:cNvSpPr>
          <a:spLocks/>
        </xdr:cNvSpPr>
      </xdr:nvSpPr>
      <xdr:spPr>
        <a:xfrm>
          <a:off x="72771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38100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666" name="Rectangle 693"/>
        <xdr:cNvSpPr>
          <a:spLocks/>
        </xdr:cNvSpPr>
      </xdr:nvSpPr>
      <xdr:spPr>
        <a:xfrm>
          <a:off x="82105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667" name="Rectangle 694"/>
        <xdr:cNvSpPr>
          <a:spLocks/>
        </xdr:cNvSpPr>
      </xdr:nvSpPr>
      <xdr:spPr>
        <a:xfrm>
          <a:off x="72961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668" name="Rectangle 695"/>
        <xdr:cNvSpPr>
          <a:spLocks/>
        </xdr:cNvSpPr>
      </xdr:nvSpPr>
      <xdr:spPr>
        <a:xfrm>
          <a:off x="81915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669" name="Rectangle 696"/>
        <xdr:cNvSpPr>
          <a:spLocks/>
        </xdr:cNvSpPr>
      </xdr:nvSpPr>
      <xdr:spPr>
        <a:xfrm>
          <a:off x="72961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670" name="Rectangle 697"/>
        <xdr:cNvSpPr>
          <a:spLocks/>
        </xdr:cNvSpPr>
      </xdr:nvSpPr>
      <xdr:spPr>
        <a:xfrm>
          <a:off x="81915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671" name="Rectangle 698"/>
        <xdr:cNvSpPr>
          <a:spLocks/>
        </xdr:cNvSpPr>
      </xdr:nvSpPr>
      <xdr:spPr>
        <a:xfrm>
          <a:off x="72961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672" name="Rectangle 699"/>
        <xdr:cNvSpPr>
          <a:spLocks/>
        </xdr:cNvSpPr>
      </xdr:nvSpPr>
      <xdr:spPr>
        <a:xfrm>
          <a:off x="81915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123825</xdr:colOff>
      <xdr:row>152</xdr:row>
      <xdr:rowOff>0</xdr:rowOff>
    </xdr:from>
    <xdr:to>
      <xdr:col>8</xdr:col>
      <xdr:colOff>400050</xdr:colOff>
      <xdr:row>152</xdr:row>
      <xdr:rowOff>0</xdr:rowOff>
    </xdr:to>
    <xdr:sp>
      <xdr:nvSpPr>
        <xdr:cNvPr id="673" name="Rectangle 700"/>
        <xdr:cNvSpPr>
          <a:spLocks/>
        </xdr:cNvSpPr>
      </xdr:nvSpPr>
      <xdr:spPr>
        <a:xfrm>
          <a:off x="6467475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85725</xdr:colOff>
      <xdr:row>152</xdr:row>
      <xdr:rowOff>0</xdr:rowOff>
    </xdr:from>
    <xdr:to>
      <xdr:col>10</xdr:col>
      <xdr:colOff>409575</xdr:colOff>
      <xdr:row>152</xdr:row>
      <xdr:rowOff>0</xdr:rowOff>
    </xdr:to>
    <xdr:sp>
      <xdr:nvSpPr>
        <xdr:cNvPr id="674" name="Rectangle 701"/>
        <xdr:cNvSpPr>
          <a:spLocks/>
        </xdr:cNvSpPr>
      </xdr:nvSpPr>
      <xdr:spPr>
        <a:xfrm>
          <a:off x="7343775" y="28965525"/>
          <a:ext cx="323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152</xdr:row>
      <xdr:rowOff>0</xdr:rowOff>
    </xdr:from>
    <xdr:to>
      <xdr:col>8</xdr:col>
      <xdr:colOff>381000</xdr:colOff>
      <xdr:row>152</xdr:row>
      <xdr:rowOff>0</xdr:rowOff>
    </xdr:to>
    <xdr:sp>
      <xdr:nvSpPr>
        <xdr:cNvPr id="675" name="Rectangle 702"/>
        <xdr:cNvSpPr>
          <a:spLocks/>
        </xdr:cNvSpPr>
      </xdr:nvSpPr>
      <xdr:spPr>
        <a:xfrm>
          <a:off x="6381750" y="28965525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</a:p>
      </xdr:txBody>
    </xdr:sp>
    <xdr:clientData/>
  </xdr:twoCellAnchor>
  <xdr:twoCellAnchor>
    <xdr:from>
      <xdr:col>8</xdr:col>
      <xdr:colOff>123825</xdr:colOff>
      <xdr:row>152</xdr:row>
      <xdr:rowOff>0</xdr:rowOff>
    </xdr:from>
    <xdr:to>
      <xdr:col>8</xdr:col>
      <xdr:colOff>400050</xdr:colOff>
      <xdr:row>152</xdr:row>
      <xdr:rowOff>0</xdr:rowOff>
    </xdr:to>
    <xdr:sp>
      <xdr:nvSpPr>
        <xdr:cNvPr id="676" name="Rectangle 703"/>
        <xdr:cNvSpPr>
          <a:spLocks/>
        </xdr:cNvSpPr>
      </xdr:nvSpPr>
      <xdr:spPr>
        <a:xfrm>
          <a:off x="6467475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152</xdr:row>
      <xdr:rowOff>0</xdr:rowOff>
    </xdr:from>
    <xdr:to>
      <xdr:col>8</xdr:col>
      <xdr:colOff>381000</xdr:colOff>
      <xdr:row>152</xdr:row>
      <xdr:rowOff>0</xdr:rowOff>
    </xdr:to>
    <xdr:sp>
      <xdr:nvSpPr>
        <xdr:cNvPr id="677" name="Rectangle 704"/>
        <xdr:cNvSpPr>
          <a:spLocks/>
        </xdr:cNvSpPr>
      </xdr:nvSpPr>
      <xdr:spPr>
        <a:xfrm>
          <a:off x="6381750" y="28965525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</a:p>
      </xdr:txBody>
    </xdr:sp>
    <xdr:clientData/>
  </xdr:twoCellAnchor>
  <xdr:twoCellAnchor>
    <xdr:from>
      <xdr:col>8</xdr:col>
      <xdr:colOff>123825</xdr:colOff>
      <xdr:row>152</xdr:row>
      <xdr:rowOff>0</xdr:rowOff>
    </xdr:from>
    <xdr:to>
      <xdr:col>8</xdr:col>
      <xdr:colOff>400050</xdr:colOff>
      <xdr:row>152</xdr:row>
      <xdr:rowOff>0</xdr:rowOff>
    </xdr:to>
    <xdr:sp>
      <xdr:nvSpPr>
        <xdr:cNvPr id="678" name="Rectangle 705"/>
        <xdr:cNvSpPr>
          <a:spLocks/>
        </xdr:cNvSpPr>
      </xdr:nvSpPr>
      <xdr:spPr>
        <a:xfrm>
          <a:off x="6467475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152</xdr:row>
      <xdr:rowOff>0</xdr:rowOff>
    </xdr:from>
    <xdr:to>
      <xdr:col>8</xdr:col>
      <xdr:colOff>381000</xdr:colOff>
      <xdr:row>152</xdr:row>
      <xdr:rowOff>0</xdr:rowOff>
    </xdr:to>
    <xdr:sp>
      <xdr:nvSpPr>
        <xdr:cNvPr id="679" name="Rectangle 706"/>
        <xdr:cNvSpPr>
          <a:spLocks/>
        </xdr:cNvSpPr>
      </xdr:nvSpPr>
      <xdr:spPr>
        <a:xfrm>
          <a:off x="6381750" y="28965525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</a:p>
      </xdr:txBody>
    </xdr:sp>
    <xdr:clientData/>
  </xdr:twoCellAnchor>
  <xdr:twoCellAnchor>
    <xdr:from>
      <xdr:col>8</xdr:col>
      <xdr:colOff>123825</xdr:colOff>
      <xdr:row>152</xdr:row>
      <xdr:rowOff>0</xdr:rowOff>
    </xdr:from>
    <xdr:to>
      <xdr:col>8</xdr:col>
      <xdr:colOff>400050</xdr:colOff>
      <xdr:row>152</xdr:row>
      <xdr:rowOff>0</xdr:rowOff>
    </xdr:to>
    <xdr:sp>
      <xdr:nvSpPr>
        <xdr:cNvPr id="680" name="Rectangle 707"/>
        <xdr:cNvSpPr>
          <a:spLocks/>
        </xdr:cNvSpPr>
      </xdr:nvSpPr>
      <xdr:spPr>
        <a:xfrm>
          <a:off x="6467475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85725</xdr:colOff>
      <xdr:row>152</xdr:row>
      <xdr:rowOff>0</xdr:rowOff>
    </xdr:from>
    <xdr:to>
      <xdr:col>10</xdr:col>
      <xdr:colOff>409575</xdr:colOff>
      <xdr:row>152</xdr:row>
      <xdr:rowOff>0</xdr:rowOff>
    </xdr:to>
    <xdr:sp>
      <xdr:nvSpPr>
        <xdr:cNvPr id="681" name="Rectangle 708"/>
        <xdr:cNvSpPr>
          <a:spLocks/>
        </xdr:cNvSpPr>
      </xdr:nvSpPr>
      <xdr:spPr>
        <a:xfrm>
          <a:off x="7343775" y="28965525"/>
          <a:ext cx="323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152</xdr:row>
      <xdr:rowOff>0</xdr:rowOff>
    </xdr:from>
    <xdr:to>
      <xdr:col>8</xdr:col>
      <xdr:colOff>381000</xdr:colOff>
      <xdr:row>152</xdr:row>
      <xdr:rowOff>0</xdr:rowOff>
    </xdr:to>
    <xdr:sp>
      <xdr:nvSpPr>
        <xdr:cNvPr id="682" name="Rectangle 709"/>
        <xdr:cNvSpPr>
          <a:spLocks/>
        </xdr:cNvSpPr>
      </xdr:nvSpPr>
      <xdr:spPr>
        <a:xfrm>
          <a:off x="6381750" y="28965525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</a:p>
      </xdr:txBody>
    </xdr:sp>
    <xdr:clientData/>
  </xdr:twoCellAnchor>
  <xdr:twoCellAnchor>
    <xdr:from>
      <xdr:col>10</xdr:col>
      <xdr:colOff>38100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683" name="Rectangle 710"/>
        <xdr:cNvSpPr>
          <a:spLocks/>
        </xdr:cNvSpPr>
      </xdr:nvSpPr>
      <xdr:spPr>
        <a:xfrm>
          <a:off x="72961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684" name="Rectangle 711"/>
        <xdr:cNvSpPr>
          <a:spLocks/>
        </xdr:cNvSpPr>
      </xdr:nvSpPr>
      <xdr:spPr>
        <a:xfrm>
          <a:off x="81915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685" name="Rectangle 712"/>
        <xdr:cNvSpPr>
          <a:spLocks/>
        </xdr:cNvSpPr>
      </xdr:nvSpPr>
      <xdr:spPr>
        <a:xfrm>
          <a:off x="72961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686" name="Rectangle 713"/>
        <xdr:cNvSpPr>
          <a:spLocks/>
        </xdr:cNvSpPr>
      </xdr:nvSpPr>
      <xdr:spPr>
        <a:xfrm>
          <a:off x="81915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152</xdr:row>
      <xdr:rowOff>0</xdr:rowOff>
    </xdr:from>
    <xdr:to>
      <xdr:col>8</xdr:col>
      <xdr:colOff>314325</xdr:colOff>
      <xdr:row>152</xdr:row>
      <xdr:rowOff>0</xdr:rowOff>
    </xdr:to>
    <xdr:sp>
      <xdr:nvSpPr>
        <xdr:cNvPr id="687" name="Rectangle 714"/>
        <xdr:cNvSpPr>
          <a:spLocks/>
        </xdr:cNvSpPr>
      </xdr:nvSpPr>
      <xdr:spPr>
        <a:xfrm>
          <a:off x="63817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19050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688" name="Rectangle 715"/>
        <xdr:cNvSpPr>
          <a:spLocks/>
        </xdr:cNvSpPr>
      </xdr:nvSpPr>
      <xdr:spPr>
        <a:xfrm>
          <a:off x="72771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38100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689" name="Rectangle 716"/>
        <xdr:cNvSpPr>
          <a:spLocks/>
        </xdr:cNvSpPr>
      </xdr:nvSpPr>
      <xdr:spPr>
        <a:xfrm>
          <a:off x="82105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152</xdr:row>
      <xdr:rowOff>0</xdr:rowOff>
    </xdr:from>
    <xdr:to>
      <xdr:col>8</xdr:col>
      <xdr:colOff>314325</xdr:colOff>
      <xdr:row>152</xdr:row>
      <xdr:rowOff>0</xdr:rowOff>
    </xdr:to>
    <xdr:sp>
      <xdr:nvSpPr>
        <xdr:cNvPr id="690" name="Rectangle 717"/>
        <xdr:cNvSpPr>
          <a:spLocks/>
        </xdr:cNvSpPr>
      </xdr:nvSpPr>
      <xdr:spPr>
        <a:xfrm>
          <a:off x="63817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19050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691" name="Rectangle 718"/>
        <xdr:cNvSpPr>
          <a:spLocks/>
        </xdr:cNvSpPr>
      </xdr:nvSpPr>
      <xdr:spPr>
        <a:xfrm>
          <a:off x="72771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38100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692" name="Rectangle 719"/>
        <xdr:cNvSpPr>
          <a:spLocks/>
        </xdr:cNvSpPr>
      </xdr:nvSpPr>
      <xdr:spPr>
        <a:xfrm>
          <a:off x="82105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6</xdr:col>
      <xdr:colOff>38100</xdr:colOff>
      <xdr:row>152</xdr:row>
      <xdr:rowOff>0</xdr:rowOff>
    </xdr:from>
    <xdr:to>
      <xdr:col>6</xdr:col>
      <xdr:colOff>314325</xdr:colOff>
      <xdr:row>152</xdr:row>
      <xdr:rowOff>0</xdr:rowOff>
    </xdr:to>
    <xdr:sp>
      <xdr:nvSpPr>
        <xdr:cNvPr id="693" name="Rectangle 720"/>
        <xdr:cNvSpPr>
          <a:spLocks/>
        </xdr:cNvSpPr>
      </xdr:nvSpPr>
      <xdr:spPr>
        <a:xfrm>
          <a:off x="54673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19050</xdr:colOff>
      <xdr:row>152</xdr:row>
      <xdr:rowOff>0</xdr:rowOff>
    </xdr:from>
    <xdr:to>
      <xdr:col>8</xdr:col>
      <xdr:colOff>314325</xdr:colOff>
      <xdr:row>152</xdr:row>
      <xdr:rowOff>0</xdr:rowOff>
    </xdr:to>
    <xdr:sp>
      <xdr:nvSpPr>
        <xdr:cNvPr id="694" name="Rectangle 721"/>
        <xdr:cNvSpPr>
          <a:spLocks/>
        </xdr:cNvSpPr>
      </xdr:nvSpPr>
      <xdr:spPr>
        <a:xfrm>
          <a:off x="63627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695" name="Rectangle 722"/>
        <xdr:cNvSpPr>
          <a:spLocks/>
        </xdr:cNvSpPr>
      </xdr:nvSpPr>
      <xdr:spPr>
        <a:xfrm>
          <a:off x="72961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696" name="Rectangle 723"/>
        <xdr:cNvSpPr>
          <a:spLocks/>
        </xdr:cNvSpPr>
      </xdr:nvSpPr>
      <xdr:spPr>
        <a:xfrm>
          <a:off x="81915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6</xdr:col>
      <xdr:colOff>38100</xdr:colOff>
      <xdr:row>152</xdr:row>
      <xdr:rowOff>0</xdr:rowOff>
    </xdr:from>
    <xdr:to>
      <xdr:col>6</xdr:col>
      <xdr:colOff>314325</xdr:colOff>
      <xdr:row>152</xdr:row>
      <xdr:rowOff>0</xdr:rowOff>
    </xdr:to>
    <xdr:sp>
      <xdr:nvSpPr>
        <xdr:cNvPr id="697" name="Rectangle 724"/>
        <xdr:cNvSpPr>
          <a:spLocks/>
        </xdr:cNvSpPr>
      </xdr:nvSpPr>
      <xdr:spPr>
        <a:xfrm>
          <a:off x="54673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6</xdr:col>
      <xdr:colOff>19050</xdr:colOff>
      <xdr:row>152</xdr:row>
      <xdr:rowOff>0</xdr:rowOff>
    </xdr:from>
    <xdr:to>
      <xdr:col>6</xdr:col>
      <xdr:colOff>314325</xdr:colOff>
      <xdr:row>152</xdr:row>
      <xdr:rowOff>0</xdr:rowOff>
    </xdr:to>
    <xdr:sp>
      <xdr:nvSpPr>
        <xdr:cNvPr id="698" name="Rectangle 725"/>
        <xdr:cNvSpPr>
          <a:spLocks/>
        </xdr:cNvSpPr>
      </xdr:nvSpPr>
      <xdr:spPr>
        <a:xfrm>
          <a:off x="54483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38100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699" name="Rectangle 726"/>
        <xdr:cNvSpPr>
          <a:spLocks/>
        </xdr:cNvSpPr>
      </xdr:nvSpPr>
      <xdr:spPr>
        <a:xfrm>
          <a:off x="82105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6</xdr:col>
      <xdr:colOff>19050</xdr:colOff>
      <xdr:row>152</xdr:row>
      <xdr:rowOff>0</xdr:rowOff>
    </xdr:from>
    <xdr:to>
      <xdr:col>6</xdr:col>
      <xdr:colOff>314325</xdr:colOff>
      <xdr:row>152</xdr:row>
      <xdr:rowOff>0</xdr:rowOff>
    </xdr:to>
    <xdr:sp>
      <xdr:nvSpPr>
        <xdr:cNvPr id="700" name="Rectangle 727"/>
        <xdr:cNvSpPr>
          <a:spLocks/>
        </xdr:cNvSpPr>
      </xdr:nvSpPr>
      <xdr:spPr>
        <a:xfrm>
          <a:off x="54483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152</xdr:row>
      <xdr:rowOff>0</xdr:rowOff>
    </xdr:from>
    <xdr:to>
      <xdr:col>8</xdr:col>
      <xdr:colOff>314325</xdr:colOff>
      <xdr:row>152</xdr:row>
      <xdr:rowOff>0</xdr:rowOff>
    </xdr:to>
    <xdr:sp>
      <xdr:nvSpPr>
        <xdr:cNvPr id="701" name="Rectangle 728"/>
        <xdr:cNvSpPr>
          <a:spLocks/>
        </xdr:cNvSpPr>
      </xdr:nvSpPr>
      <xdr:spPr>
        <a:xfrm>
          <a:off x="63817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702" name="Rectangle 729"/>
        <xdr:cNvSpPr>
          <a:spLocks/>
        </xdr:cNvSpPr>
      </xdr:nvSpPr>
      <xdr:spPr>
        <a:xfrm>
          <a:off x="72961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703" name="Rectangle 730"/>
        <xdr:cNvSpPr>
          <a:spLocks/>
        </xdr:cNvSpPr>
      </xdr:nvSpPr>
      <xdr:spPr>
        <a:xfrm>
          <a:off x="81915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152</xdr:row>
      <xdr:rowOff>0</xdr:rowOff>
    </xdr:from>
    <xdr:to>
      <xdr:col>8</xdr:col>
      <xdr:colOff>314325</xdr:colOff>
      <xdr:row>152</xdr:row>
      <xdr:rowOff>0</xdr:rowOff>
    </xdr:to>
    <xdr:sp>
      <xdr:nvSpPr>
        <xdr:cNvPr id="704" name="Rectangle 731"/>
        <xdr:cNvSpPr>
          <a:spLocks/>
        </xdr:cNvSpPr>
      </xdr:nvSpPr>
      <xdr:spPr>
        <a:xfrm>
          <a:off x="63817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19050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705" name="Rectangle 732"/>
        <xdr:cNvSpPr>
          <a:spLocks/>
        </xdr:cNvSpPr>
      </xdr:nvSpPr>
      <xdr:spPr>
        <a:xfrm>
          <a:off x="72771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38100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706" name="Rectangle 733"/>
        <xdr:cNvSpPr>
          <a:spLocks/>
        </xdr:cNvSpPr>
      </xdr:nvSpPr>
      <xdr:spPr>
        <a:xfrm>
          <a:off x="82105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152</xdr:row>
      <xdr:rowOff>0</xdr:rowOff>
    </xdr:from>
    <xdr:to>
      <xdr:col>8</xdr:col>
      <xdr:colOff>314325</xdr:colOff>
      <xdr:row>152</xdr:row>
      <xdr:rowOff>0</xdr:rowOff>
    </xdr:to>
    <xdr:sp>
      <xdr:nvSpPr>
        <xdr:cNvPr id="707" name="Rectangle 734"/>
        <xdr:cNvSpPr>
          <a:spLocks/>
        </xdr:cNvSpPr>
      </xdr:nvSpPr>
      <xdr:spPr>
        <a:xfrm>
          <a:off x="63817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19050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708" name="Rectangle 735"/>
        <xdr:cNvSpPr>
          <a:spLocks/>
        </xdr:cNvSpPr>
      </xdr:nvSpPr>
      <xdr:spPr>
        <a:xfrm>
          <a:off x="72771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38100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709" name="Rectangle 736"/>
        <xdr:cNvSpPr>
          <a:spLocks/>
        </xdr:cNvSpPr>
      </xdr:nvSpPr>
      <xdr:spPr>
        <a:xfrm>
          <a:off x="82105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710" name="Rectangle 737"/>
        <xdr:cNvSpPr>
          <a:spLocks/>
        </xdr:cNvSpPr>
      </xdr:nvSpPr>
      <xdr:spPr>
        <a:xfrm>
          <a:off x="72961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711" name="Rectangle 738"/>
        <xdr:cNvSpPr>
          <a:spLocks/>
        </xdr:cNvSpPr>
      </xdr:nvSpPr>
      <xdr:spPr>
        <a:xfrm>
          <a:off x="81915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712" name="Rectangle 739"/>
        <xdr:cNvSpPr>
          <a:spLocks/>
        </xdr:cNvSpPr>
      </xdr:nvSpPr>
      <xdr:spPr>
        <a:xfrm>
          <a:off x="72961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713" name="Rectangle 740"/>
        <xdr:cNvSpPr>
          <a:spLocks/>
        </xdr:cNvSpPr>
      </xdr:nvSpPr>
      <xdr:spPr>
        <a:xfrm>
          <a:off x="81915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714" name="Rectangle 741"/>
        <xdr:cNvSpPr>
          <a:spLocks/>
        </xdr:cNvSpPr>
      </xdr:nvSpPr>
      <xdr:spPr>
        <a:xfrm>
          <a:off x="7296150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152</xdr:row>
      <xdr:rowOff>0</xdr:rowOff>
    </xdr:from>
    <xdr:to>
      <xdr:col>12</xdr:col>
      <xdr:colOff>314325</xdr:colOff>
      <xdr:row>152</xdr:row>
      <xdr:rowOff>0</xdr:rowOff>
    </xdr:to>
    <xdr:sp>
      <xdr:nvSpPr>
        <xdr:cNvPr id="715" name="Rectangle 742"/>
        <xdr:cNvSpPr>
          <a:spLocks/>
        </xdr:cNvSpPr>
      </xdr:nvSpPr>
      <xdr:spPr>
        <a:xfrm>
          <a:off x="8191500" y="28965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123825</xdr:colOff>
      <xdr:row>152</xdr:row>
      <xdr:rowOff>0</xdr:rowOff>
    </xdr:from>
    <xdr:to>
      <xdr:col>8</xdr:col>
      <xdr:colOff>400050</xdr:colOff>
      <xdr:row>152</xdr:row>
      <xdr:rowOff>0</xdr:rowOff>
    </xdr:to>
    <xdr:sp>
      <xdr:nvSpPr>
        <xdr:cNvPr id="716" name="Rectangle 743"/>
        <xdr:cNvSpPr>
          <a:spLocks/>
        </xdr:cNvSpPr>
      </xdr:nvSpPr>
      <xdr:spPr>
        <a:xfrm>
          <a:off x="6467475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85725</xdr:colOff>
      <xdr:row>152</xdr:row>
      <xdr:rowOff>0</xdr:rowOff>
    </xdr:from>
    <xdr:to>
      <xdr:col>10</xdr:col>
      <xdr:colOff>409575</xdr:colOff>
      <xdr:row>152</xdr:row>
      <xdr:rowOff>0</xdr:rowOff>
    </xdr:to>
    <xdr:sp>
      <xdr:nvSpPr>
        <xdr:cNvPr id="717" name="Rectangle 744"/>
        <xdr:cNvSpPr>
          <a:spLocks/>
        </xdr:cNvSpPr>
      </xdr:nvSpPr>
      <xdr:spPr>
        <a:xfrm>
          <a:off x="7343775" y="28965525"/>
          <a:ext cx="323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152</xdr:row>
      <xdr:rowOff>0</xdr:rowOff>
    </xdr:from>
    <xdr:to>
      <xdr:col>8</xdr:col>
      <xdr:colOff>381000</xdr:colOff>
      <xdr:row>152</xdr:row>
      <xdr:rowOff>0</xdr:rowOff>
    </xdr:to>
    <xdr:sp>
      <xdr:nvSpPr>
        <xdr:cNvPr id="718" name="Rectangle 745"/>
        <xdr:cNvSpPr>
          <a:spLocks/>
        </xdr:cNvSpPr>
      </xdr:nvSpPr>
      <xdr:spPr>
        <a:xfrm>
          <a:off x="6381750" y="28965525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</a:p>
      </xdr:txBody>
    </xdr:sp>
    <xdr:clientData/>
  </xdr:twoCellAnchor>
  <xdr:twoCellAnchor>
    <xdr:from>
      <xdr:col>8</xdr:col>
      <xdr:colOff>123825</xdr:colOff>
      <xdr:row>152</xdr:row>
      <xdr:rowOff>0</xdr:rowOff>
    </xdr:from>
    <xdr:to>
      <xdr:col>8</xdr:col>
      <xdr:colOff>400050</xdr:colOff>
      <xdr:row>152</xdr:row>
      <xdr:rowOff>0</xdr:rowOff>
    </xdr:to>
    <xdr:sp>
      <xdr:nvSpPr>
        <xdr:cNvPr id="719" name="Rectangle 746"/>
        <xdr:cNvSpPr>
          <a:spLocks/>
        </xdr:cNvSpPr>
      </xdr:nvSpPr>
      <xdr:spPr>
        <a:xfrm>
          <a:off x="6467475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152</xdr:row>
      <xdr:rowOff>0</xdr:rowOff>
    </xdr:from>
    <xdr:to>
      <xdr:col>8</xdr:col>
      <xdr:colOff>381000</xdr:colOff>
      <xdr:row>152</xdr:row>
      <xdr:rowOff>0</xdr:rowOff>
    </xdr:to>
    <xdr:sp>
      <xdr:nvSpPr>
        <xdr:cNvPr id="720" name="Rectangle 747"/>
        <xdr:cNvSpPr>
          <a:spLocks/>
        </xdr:cNvSpPr>
      </xdr:nvSpPr>
      <xdr:spPr>
        <a:xfrm>
          <a:off x="6381750" y="28965525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</a:p>
      </xdr:txBody>
    </xdr:sp>
    <xdr:clientData/>
  </xdr:twoCellAnchor>
  <xdr:twoCellAnchor>
    <xdr:from>
      <xdr:col>8</xdr:col>
      <xdr:colOff>123825</xdr:colOff>
      <xdr:row>152</xdr:row>
      <xdr:rowOff>0</xdr:rowOff>
    </xdr:from>
    <xdr:to>
      <xdr:col>8</xdr:col>
      <xdr:colOff>400050</xdr:colOff>
      <xdr:row>152</xdr:row>
      <xdr:rowOff>0</xdr:rowOff>
    </xdr:to>
    <xdr:sp>
      <xdr:nvSpPr>
        <xdr:cNvPr id="721" name="Rectangle 748"/>
        <xdr:cNvSpPr>
          <a:spLocks/>
        </xdr:cNvSpPr>
      </xdr:nvSpPr>
      <xdr:spPr>
        <a:xfrm>
          <a:off x="6467475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152</xdr:row>
      <xdr:rowOff>0</xdr:rowOff>
    </xdr:from>
    <xdr:to>
      <xdr:col>8</xdr:col>
      <xdr:colOff>381000</xdr:colOff>
      <xdr:row>152</xdr:row>
      <xdr:rowOff>0</xdr:rowOff>
    </xdr:to>
    <xdr:sp>
      <xdr:nvSpPr>
        <xdr:cNvPr id="722" name="Rectangle 749"/>
        <xdr:cNvSpPr>
          <a:spLocks/>
        </xdr:cNvSpPr>
      </xdr:nvSpPr>
      <xdr:spPr>
        <a:xfrm>
          <a:off x="6381750" y="28965525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</a:p>
      </xdr:txBody>
    </xdr:sp>
    <xdr:clientData/>
  </xdr:twoCellAnchor>
  <xdr:twoCellAnchor>
    <xdr:from>
      <xdr:col>8</xdr:col>
      <xdr:colOff>123825</xdr:colOff>
      <xdr:row>152</xdr:row>
      <xdr:rowOff>0</xdr:rowOff>
    </xdr:from>
    <xdr:to>
      <xdr:col>8</xdr:col>
      <xdr:colOff>400050</xdr:colOff>
      <xdr:row>152</xdr:row>
      <xdr:rowOff>0</xdr:rowOff>
    </xdr:to>
    <xdr:sp>
      <xdr:nvSpPr>
        <xdr:cNvPr id="723" name="Rectangle 750"/>
        <xdr:cNvSpPr>
          <a:spLocks/>
        </xdr:cNvSpPr>
      </xdr:nvSpPr>
      <xdr:spPr>
        <a:xfrm>
          <a:off x="6467475" y="28965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85725</xdr:colOff>
      <xdr:row>152</xdr:row>
      <xdr:rowOff>0</xdr:rowOff>
    </xdr:from>
    <xdr:to>
      <xdr:col>10</xdr:col>
      <xdr:colOff>409575</xdr:colOff>
      <xdr:row>152</xdr:row>
      <xdr:rowOff>0</xdr:rowOff>
    </xdr:to>
    <xdr:sp>
      <xdr:nvSpPr>
        <xdr:cNvPr id="724" name="Rectangle 751"/>
        <xdr:cNvSpPr>
          <a:spLocks/>
        </xdr:cNvSpPr>
      </xdr:nvSpPr>
      <xdr:spPr>
        <a:xfrm>
          <a:off x="7343775" y="28965525"/>
          <a:ext cx="323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152</xdr:row>
      <xdr:rowOff>0</xdr:rowOff>
    </xdr:from>
    <xdr:to>
      <xdr:col>8</xdr:col>
      <xdr:colOff>381000</xdr:colOff>
      <xdr:row>152</xdr:row>
      <xdr:rowOff>0</xdr:rowOff>
    </xdr:to>
    <xdr:sp>
      <xdr:nvSpPr>
        <xdr:cNvPr id="725" name="Rectangle 752"/>
        <xdr:cNvSpPr>
          <a:spLocks/>
        </xdr:cNvSpPr>
      </xdr:nvSpPr>
      <xdr:spPr>
        <a:xfrm>
          <a:off x="6381750" y="28965525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</a:p>
      </xdr:txBody>
    </xdr:sp>
    <xdr:clientData/>
  </xdr:twoCellAnchor>
  <xdr:twoCellAnchor>
    <xdr:from>
      <xdr:col>14</xdr:col>
      <xdr:colOff>0</xdr:colOff>
      <xdr:row>152</xdr:row>
      <xdr:rowOff>0</xdr:rowOff>
    </xdr:from>
    <xdr:to>
      <xdr:col>14</xdr:col>
      <xdr:colOff>0</xdr:colOff>
      <xdr:row>152</xdr:row>
      <xdr:rowOff>0</xdr:rowOff>
    </xdr:to>
    <xdr:sp>
      <xdr:nvSpPr>
        <xdr:cNvPr id="726" name="Rectangle 1010"/>
        <xdr:cNvSpPr>
          <a:spLocks/>
        </xdr:cNvSpPr>
      </xdr:nvSpPr>
      <xdr:spPr>
        <a:xfrm>
          <a:off x="9134475" y="2896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0</xdr:colOff>
      <xdr:row>53</xdr:row>
      <xdr:rowOff>171450</xdr:rowOff>
    </xdr:from>
    <xdr:to>
      <xdr:col>14</xdr:col>
      <xdr:colOff>0</xdr:colOff>
      <xdr:row>56</xdr:row>
      <xdr:rowOff>28575</xdr:rowOff>
    </xdr:to>
    <xdr:sp>
      <xdr:nvSpPr>
        <xdr:cNvPr id="727" name="Rectangle 1011"/>
        <xdr:cNvSpPr>
          <a:spLocks/>
        </xdr:cNvSpPr>
      </xdr:nvSpPr>
      <xdr:spPr>
        <a:xfrm flipH="1">
          <a:off x="9134475" y="1154430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14</xdr:col>
      <xdr:colOff>0</xdr:colOff>
      <xdr:row>49</xdr:row>
      <xdr:rowOff>9525</xdr:rowOff>
    </xdr:from>
    <xdr:to>
      <xdr:col>14</xdr:col>
      <xdr:colOff>0</xdr:colOff>
      <xdr:row>49</xdr:row>
      <xdr:rowOff>209550</xdr:rowOff>
    </xdr:to>
    <xdr:sp>
      <xdr:nvSpPr>
        <xdr:cNvPr id="728" name="Rectangle 1012"/>
        <xdr:cNvSpPr>
          <a:spLocks/>
        </xdr:cNvSpPr>
      </xdr:nvSpPr>
      <xdr:spPr>
        <a:xfrm>
          <a:off x="9134475" y="10382250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0</xdr:colOff>
      <xdr:row>152</xdr:row>
      <xdr:rowOff>0</xdr:rowOff>
    </xdr:from>
    <xdr:to>
      <xdr:col>14</xdr:col>
      <xdr:colOff>0</xdr:colOff>
      <xdr:row>152</xdr:row>
      <xdr:rowOff>0</xdr:rowOff>
    </xdr:to>
    <xdr:sp>
      <xdr:nvSpPr>
        <xdr:cNvPr id="729" name="Rectangle 1013"/>
        <xdr:cNvSpPr>
          <a:spLocks/>
        </xdr:cNvSpPr>
      </xdr:nvSpPr>
      <xdr:spPr>
        <a:xfrm>
          <a:off x="9134475" y="2896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0</xdr:colOff>
      <xdr:row>49</xdr:row>
      <xdr:rowOff>9525</xdr:rowOff>
    </xdr:from>
    <xdr:to>
      <xdr:col>14</xdr:col>
      <xdr:colOff>0</xdr:colOff>
      <xdr:row>49</xdr:row>
      <xdr:rowOff>209550</xdr:rowOff>
    </xdr:to>
    <xdr:sp>
      <xdr:nvSpPr>
        <xdr:cNvPr id="730" name="Rectangle 1014"/>
        <xdr:cNvSpPr>
          <a:spLocks/>
        </xdr:cNvSpPr>
      </xdr:nvSpPr>
      <xdr:spPr>
        <a:xfrm>
          <a:off x="9134475" y="10382250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0</xdr:colOff>
      <xdr:row>49</xdr:row>
      <xdr:rowOff>9525</xdr:rowOff>
    </xdr:from>
    <xdr:to>
      <xdr:col>14</xdr:col>
      <xdr:colOff>0</xdr:colOff>
      <xdr:row>50</xdr:row>
      <xdr:rowOff>9525</xdr:rowOff>
    </xdr:to>
    <xdr:sp>
      <xdr:nvSpPr>
        <xdr:cNvPr id="731" name="Rectangle 1015"/>
        <xdr:cNvSpPr>
          <a:spLocks/>
        </xdr:cNvSpPr>
      </xdr:nvSpPr>
      <xdr:spPr>
        <a:xfrm>
          <a:off x="9134475" y="10382250"/>
          <a:ext cx="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0</xdr:colOff>
      <xdr:row>49</xdr:row>
      <xdr:rowOff>9525</xdr:rowOff>
    </xdr:from>
    <xdr:to>
      <xdr:col>14</xdr:col>
      <xdr:colOff>0</xdr:colOff>
      <xdr:row>49</xdr:row>
      <xdr:rowOff>209550</xdr:rowOff>
    </xdr:to>
    <xdr:sp>
      <xdr:nvSpPr>
        <xdr:cNvPr id="732" name="Rectangle 1016"/>
        <xdr:cNvSpPr>
          <a:spLocks/>
        </xdr:cNvSpPr>
      </xdr:nvSpPr>
      <xdr:spPr>
        <a:xfrm>
          <a:off x="9134475" y="10382250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0</xdr:colOff>
      <xdr:row>152</xdr:row>
      <xdr:rowOff>0</xdr:rowOff>
    </xdr:from>
    <xdr:to>
      <xdr:col>14</xdr:col>
      <xdr:colOff>0</xdr:colOff>
      <xdr:row>152</xdr:row>
      <xdr:rowOff>0</xdr:rowOff>
    </xdr:to>
    <xdr:sp>
      <xdr:nvSpPr>
        <xdr:cNvPr id="733" name="Rectangle 1017"/>
        <xdr:cNvSpPr>
          <a:spLocks/>
        </xdr:cNvSpPr>
      </xdr:nvSpPr>
      <xdr:spPr>
        <a:xfrm>
          <a:off x="9134475" y="2896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0</xdr:colOff>
      <xdr:row>51</xdr:row>
      <xdr:rowOff>171450</xdr:rowOff>
    </xdr:from>
    <xdr:to>
      <xdr:col>14</xdr:col>
      <xdr:colOff>0</xdr:colOff>
      <xdr:row>53</xdr:row>
      <xdr:rowOff>28575</xdr:rowOff>
    </xdr:to>
    <xdr:sp>
      <xdr:nvSpPr>
        <xdr:cNvPr id="734" name="Rectangle 1018"/>
        <xdr:cNvSpPr>
          <a:spLocks/>
        </xdr:cNvSpPr>
      </xdr:nvSpPr>
      <xdr:spPr>
        <a:xfrm flipH="1">
          <a:off x="9134475" y="11058525"/>
          <a:ext cx="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14</xdr:col>
      <xdr:colOff>0</xdr:colOff>
      <xdr:row>152</xdr:row>
      <xdr:rowOff>0</xdr:rowOff>
    </xdr:from>
    <xdr:to>
      <xdr:col>14</xdr:col>
      <xdr:colOff>0</xdr:colOff>
      <xdr:row>152</xdr:row>
      <xdr:rowOff>0</xdr:rowOff>
    </xdr:to>
    <xdr:sp>
      <xdr:nvSpPr>
        <xdr:cNvPr id="735" name="Rectangle 1019"/>
        <xdr:cNvSpPr>
          <a:spLocks/>
        </xdr:cNvSpPr>
      </xdr:nvSpPr>
      <xdr:spPr>
        <a:xfrm>
          <a:off x="9134475" y="2896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0</xdr:colOff>
      <xdr:row>152</xdr:row>
      <xdr:rowOff>0</xdr:rowOff>
    </xdr:from>
    <xdr:to>
      <xdr:col>14</xdr:col>
      <xdr:colOff>0</xdr:colOff>
      <xdr:row>152</xdr:row>
      <xdr:rowOff>0</xdr:rowOff>
    </xdr:to>
    <xdr:sp>
      <xdr:nvSpPr>
        <xdr:cNvPr id="736" name="Rectangle 1020"/>
        <xdr:cNvSpPr>
          <a:spLocks/>
        </xdr:cNvSpPr>
      </xdr:nvSpPr>
      <xdr:spPr>
        <a:xfrm>
          <a:off x="9134475" y="2896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0</xdr:colOff>
      <xdr:row>53</xdr:row>
      <xdr:rowOff>171450</xdr:rowOff>
    </xdr:from>
    <xdr:to>
      <xdr:col>14</xdr:col>
      <xdr:colOff>0</xdr:colOff>
      <xdr:row>56</xdr:row>
      <xdr:rowOff>28575</xdr:rowOff>
    </xdr:to>
    <xdr:sp>
      <xdr:nvSpPr>
        <xdr:cNvPr id="737" name="Rectangle 1021"/>
        <xdr:cNvSpPr>
          <a:spLocks/>
        </xdr:cNvSpPr>
      </xdr:nvSpPr>
      <xdr:spPr>
        <a:xfrm flipH="1">
          <a:off x="9134475" y="1154430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14</xdr:col>
      <xdr:colOff>0</xdr:colOff>
      <xdr:row>49</xdr:row>
      <xdr:rowOff>9525</xdr:rowOff>
    </xdr:from>
    <xdr:to>
      <xdr:col>14</xdr:col>
      <xdr:colOff>0</xdr:colOff>
      <xdr:row>49</xdr:row>
      <xdr:rowOff>209550</xdr:rowOff>
    </xdr:to>
    <xdr:sp>
      <xdr:nvSpPr>
        <xdr:cNvPr id="738" name="Rectangle 1022"/>
        <xdr:cNvSpPr>
          <a:spLocks/>
        </xdr:cNvSpPr>
      </xdr:nvSpPr>
      <xdr:spPr>
        <a:xfrm>
          <a:off x="9134475" y="10382250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0</xdr:colOff>
      <xdr:row>152</xdr:row>
      <xdr:rowOff>0</xdr:rowOff>
    </xdr:from>
    <xdr:to>
      <xdr:col>14</xdr:col>
      <xdr:colOff>0</xdr:colOff>
      <xdr:row>152</xdr:row>
      <xdr:rowOff>0</xdr:rowOff>
    </xdr:to>
    <xdr:sp>
      <xdr:nvSpPr>
        <xdr:cNvPr id="739" name="Rectangle 1023"/>
        <xdr:cNvSpPr>
          <a:spLocks/>
        </xdr:cNvSpPr>
      </xdr:nvSpPr>
      <xdr:spPr>
        <a:xfrm>
          <a:off x="9134475" y="2896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0</xdr:colOff>
      <xdr:row>49</xdr:row>
      <xdr:rowOff>9525</xdr:rowOff>
    </xdr:from>
    <xdr:to>
      <xdr:col>14</xdr:col>
      <xdr:colOff>0</xdr:colOff>
      <xdr:row>49</xdr:row>
      <xdr:rowOff>209550</xdr:rowOff>
    </xdr:to>
    <xdr:sp>
      <xdr:nvSpPr>
        <xdr:cNvPr id="740" name="Rectangle 0"/>
        <xdr:cNvSpPr>
          <a:spLocks/>
        </xdr:cNvSpPr>
      </xdr:nvSpPr>
      <xdr:spPr>
        <a:xfrm>
          <a:off x="9134475" y="10382250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0</xdr:colOff>
      <xdr:row>49</xdr:row>
      <xdr:rowOff>9525</xdr:rowOff>
    </xdr:from>
    <xdr:to>
      <xdr:col>14</xdr:col>
      <xdr:colOff>0</xdr:colOff>
      <xdr:row>50</xdr:row>
      <xdr:rowOff>9525</xdr:rowOff>
    </xdr:to>
    <xdr:sp>
      <xdr:nvSpPr>
        <xdr:cNvPr id="741" name="Rectangle 1"/>
        <xdr:cNvSpPr>
          <a:spLocks/>
        </xdr:cNvSpPr>
      </xdr:nvSpPr>
      <xdr:spPr>
        <a:xfrm>
          <a:off x="9134475" y="10382250"/>
          <a:ext cx="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/>
          </a:r>
        </a:p>
      </xdr:txBody>
    </xdr:sp>
    <xdr:clientData/>
  </xdr:twoCellAnchor>
  <xdr:twoCellAnchor>
    <xdr:from>
      <xdr:col>14</xdr:col>
      <xdr:colOff>0</xdr:colOff>
      <xdr:row>49</xdr:row>
      <xdr:rowOff>9525</xdr:rowOff>
    </xdr:from>
    <xdr:to>
      <xdr:col>14</xdr:col>
      <xdr:colOff>0</xdr:colOff>
      <xdr:row>49</xdr:row>
      <xdr:rowOff>209550</xdr:rowOff>
    </xdr:to>
    <xdr:sp>
      <xdr:nvSpPr>
        <xdr:cNvPr id="742" name="Rectangle 2"/>
        <xdr:cNvSpPr>
          <a:spLocks/>
        </xdr:cNvSpPr>
      </xdr:nvSpPr>
      <xdr:spPr>
        <a:xfrm>
          <a:off x="9134475" y="10382250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0</xdr:colOff>
      <xdr:row>152</xdr:row>
      <xdr:rowOff>0</xdr:rowOff>
    </xdr:from>
    <xdr:to>
      <xdr:col>14</xdr:col>
      <xdr:colOff>0</xdr:colOff>
      <xdr:row>152</xdr:row>
      <xdr:rowOff>0</xdr:rowOff>
    </xdr:to>
    <xdr:sp>
      <xdr:nvSpPr>
        <xdr:cNvPr id="743" name="Rectangle 3"/>
        <xdr:cNvSpPr>
          <a:spLocks/>
        </xdr:cNvSpPr>
      </xdr:nvSpPr>
      <xdr:spPr>
        <a:xfrm>
          <a:off x="9134475" y="2896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0</xdr:colOff>
      <xdr:row>51</xdr:row>
      <xdr:rowOff>171450</xdr:rowOff>
    </xdr:from>
    <xdr:to>
      <xdr:col>14</xdr:col>
      <xdr:colOff>0</xdr:colOff>
      <xdr:row>53</xdr:row>
      <xdr:rowOff>28575</xdr:rowOff>
    </xdr:to>
    <xdr:sp>
      <xdr:nvSpPr>
        <xdr:cNvPr id="744" name="Rectangle 4"/>
        <xdr:cNvSpPr>
          <a:spLocks/>
        </xdr:cNvSpPr>
      </xdr:nvSpPr>
      <xdr:spPr>
        <a:xfrm flipH="1">
          <a:off x="9134475" y="11058525"/>
          <a:ext cx="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14</xdr:col>
      <xdr:colOff>0</xdr:colOff>
      <xdr:row>152</xdr:row>
      <xdr:rowOff>0</xdr:rowOff>
    </xdr:from>
    <xdr:to>
      <xdr:col>14</xdr:col>
      <xdr:colOff>0</xdr:colOff>
      <xdr:row>152</xdr:row>
      <xdr:rowOff>0</xdr:rowOff>
    </xdr:to>
    <xdr:sp>
      <xdr:nvSpPr>
        <xdr:cNvPr id="745" name="Rectangle 5"/>
        <xdr:cNvSpPr>
          <a:spLocks/>
        </xdr:cNvSpPr>
      </xdr:nvSpPr>
      <xdr:spPr>
        <a:xfrm>
          <a:off x="9134475" y="2896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0</xdr:colOff>
      <xdr:row>152</xdr:row>
      <xdr:rowOff>0</xdr:rowOff>
    </xdr:from>
    <xdr:to>
      <xdr:col>14</xdr:col>
      <xdr:colOff>0</xdr:colOff>
      <xdr:row>152</xdr:row>
      <xdr:rowOff>0</xdr:rowOff>
    </xdr:to>
    <xdr:sp>
      <xdr:nvSpPr>
        <xdr:cNvPr id="746" name="Rectangle 6"/>
        <xdr:cNvSpPr>
          <a:spLocks/>
        </xdr:cNvSpPr>
      </xdr:nvSpPr>
      <xdr:spPr>
        <a:xfrm>
          <a:off x="9134475" y="2896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0</xdr:colOff>
      <xdr:row>53</xdr:row>
      <xdr:rowOff>171450</xdr:rowOff>
    </xdr:from>
    <xdr:to>
      <xdr:col>14</xdr:col>
      <xdr:colOff>0</xdr:colOff>
      <xdr:row>56</xdr:row>
      <xdr:rowOff>28575</xdr:rowOff>
    </xdr:to>
    <xdr:sp>
      <xdr:nvSpPr>
        <xdr:cNvPr id="747" name="Rectangle 7"/>
        <xdr:cNvSpPr>
          <a:spLocks/>
        </xdr:cNvSpPr>
      </xdr:nvSpPr>
      <xdr:spPr>
        <a:xfrm flipH="1">
          <a:off x="9134475" y="1154430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14</xdr:col>
      <xdr:colOff>0</xdr:colOff>
      <xdr:row>152</xdr:row>
      <xdr:rowOff>0</xdr:rowOff>
    </xdr:from>
    <xdr:to>
      <xdr:col>14</xdr:col>
      <xdr:colOff>0</xdr:colOff>
      <xdr:row>152</xdr:row>
      <xdr:rowOff>0</xdr:rowOff>
    </xdr:to>
    <xdr:sp>
      <xdr:nvSpPr>
        <xdr:cNvPr id="748" name="Rectangle 8"/>
        <xdr:cNvSpPr>
          <a:spLocks/>
        </xdr:cNvSpPr>
      </xdr:nvSpPr>
      <xdr:spPr>
        <a:xfrm>
          <a:off x="9134475" y="2896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0</xdr:colOff>
      <xdr:row>49</xdr:row>
      <xdr:rowOff>9525</xdr:rowOff>
    </xdr:from>
    <xdr:to>
      <xdr:col>14</xdr:col>
      <xdr:colOff>0</xdr:colOff>
      <xdr:row>49</xdr:row>
      <xdr:rowOff>209550</xdr:rowOff>
    </xdr:to>
    <xdr:sp>
      <xdr:nvSpPr>
        <xdr:cNvPr id="749" name="Rectangle 9"/>
        <xdr:cNvSpPr>
          <a:spLocks/>
        </xdr:cNvSpPr>
      </xdr:nvSpPr>
      <xdr:spPr>
        <a:xfrm>
          <a:off x="9134475" y="10382250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14</xdr:col>
      <xdr:colOff>0</xdr:colOff>
      <xdr:row>49</xdr:row>
      <xdr:rowOff>9525</xdr:rowOff>
    </xdr:from>
    <xdr:to>
      <xdr:col>14</xdr:col>
      <xdr:colOff>0</xdr:colOff>
      <xdr:row>50</xdr:row>
      <xdr:rowOff>9525</xdr:rowOff>
    </xdr:to>
    <xdr:sp>
      <xdr:nvSpPr>
        <xdr:cNvPr id="750" name="Rectangle 10"/>
        <xdr:cNvSpPr>
          <a:spLocks/>
        </xdr:cNvSpPr>
      </xdr:nvSpPr>
      <xdr:spPr>
        <a:xfrm>
          <a:off x="9134475" y="10382250"/>
          <a:ext cx="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/>
          </a:r>
        </a:p>
      </xdr:txBody>
    </xdr:sp>
    <xdr:clientData/>
  </xdr:twoCellAnchor>
  <xdr:twoCellAnchor>
    <xdr:from>
      <xdr:col>14</xdr:col>
      <xdr:colOff>0</xdr:colOff>
      <xdr:row>152</xdr:row>
      <xdr:rowOff>0</xdr:rowOff>
    </xdr:from>
    <xdr:to>
      <xdr:col>14</xdr:col>
      <xdr:colOff>0</xdr:colOff>
      <xdr:row>152</xdr:row>
      <xdr:rowOff>0</xdr:rowOff>
    </xdr:to>
    <xdr:sp>
      <xdr:nvSpPr>
        <xdr:cNvPr id="751" name="Rectangle 11"/>
        <xdr:cNvSpPr>
          <a:spLocks/>
        </xdr:cNvSpPr>
      </xdr:nvSpPr>
      <xdr:spPr>
        <a:xfrm>
          <a:off x="9134475" y="2896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0</xdr:colOff>
      <xdr:row>152</xdr:row>
      <xdr:rowOff>0</xdr:rowOff>
    </xdr:from>
    <xdr:to>
      <xdr:col>14</xdr:col>
      <xdr:colOff>0</xdr:colOff>
      <xdr:row>152</xdr:row>
      <xdr:rowOff>0</xdr:rowOff>
    </xdr:to>
    <xdr:sp>
      <xdr:nvSpPr>
        <xdr:cNvPr id="752" name="Rectangle 12"/>
        <xdr:cNvSpPr>
          <a:spLocks/>
        </xdr:cNvSpPr>
      </xdr:nvSpPr>
      <xdr:spPr>
        <a:xfrm>
          <a:off x="9134475" y="2896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0</xdr:colOff>
      <xdr:row>152</xdr:row>
      <xdr:rowOff>0</xdr:rowOff>
    </xdr:from>
    <xdr:to>
      <xdr:col>14</xdr:col>
      <xdr:colOff>0</xdr:colOff>
      <xdr:row>152</xdr:row>
      <xdr:rowOff>0</xdr:rowOff>
    </xdr:to>
    <xdr:sp>
      <xdr:nvSpPr>
        <xdr:cNvPr id="753" name="Rectangle 13"/>
        <xdr:cNvSpPr>
          <a:spLocks/>
        </xdr:cNvSpPr>
      </xdr:nvSpPr>
      <xdr:spPr>
        <a:xfrm>
          <a:off x="9134475" y="2896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0</xdr:colOff>
      <xdr:row>152</xdr:row>
      <xdr:rowOff>0</xdr:rowOff>
    </xdr:from>
    <xdr:to>
      <xdr:col>14</xdr:col>
      <xdr:colOff>0</xdr:colOff>
      <xdr:row>152</xdr:row>
      <xdr:rowOff>0</xdr:rowOff>
    </xdr:to>
    <xdr:sp>
      <xdr:nvSpPr>
        <xdr:cNvPr id="754" name="Rectangle 14"/>
        <xdr:cNvSpPr>
          <a:spLocks/>
        </xdr:cNvSpPr>
      </xdr:nvSpPr>
      <xdr:spPr>
        <a:xfrm>
          <a:off x="9134475" y="2896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0</xdr:colOff>
      <xdr:row>152</xdr:row>
      <xdr:rowOff>0</xdr:rowOff>
    </xdr:from>
    <xdr:to>
      <xdr:col>14</xdr:col>
      <xdr:colOff>0</xdr:colOff>
      <xdr:row>152</xdr:row>
      <xdr:rowOff>0</xdr:rowOff>
    </xdr:to>
    <xdr:sp>
      <xdr:nvSpPr>
        <xdr:cNvPr id="755" name="Rectangle 15"/>
        <xdr:cNvSpPr>
          <a:spLocks/>
        </xdr:cNvSpPr>
      </xdr:nvSpPr>
      <xdr:spPr>
        <a:xfrm>
          <a:off x="9134475" y="2896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0</xdr:colOff>
      <xdr:row>152</xdr:row>
      <xdr:rowOff>0</xdr:rowOff>
    </xdr:from>
    <xdr:to>
      <xdr:col>14</xdr:col>
      <xdr:colOff>0</xdr:colOff>
      <xdr:row>152</xdr:row>
      <xdr:rowOff>0</xdr:rowOff>
    </xdr:to>
    <xdr:sp>
      <xdr:nvSpPr>
        <xdr:cNvPr id="756" name="Rectangle 16"/>
        <xdr:cNvSpPr>
          <a:spLocks/>
        </xdr:cNvSpPr>
      </xdr:nvSpPr>
      <xdr:spPr>
        <a:xfrm>
          <a:off x="9134475" y="2896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0</xdr:colOff>
      <xdr:row>152</xdr:row>
      <xdr:rowOff>0</xdr:rowOff>
    </xdr:from>
    <xdr:to>
      <xdr:col>14</xdr:col>
      <xdr:colOff>0</xdr:colOff>
      <xdr:row>152</xdr:row>
      <xdr:rowOff>0</xdr:rowOff>
    </xdr:to>
    <xdr:sp>
      <xdr:nvSpPr>
        <xdr:cNvPr id="757" name="Rectangle 17"/>
        <xdr:cNvSpPr>
          <a:spLocks/>
        </xdr:cNvSpPr>
      </xdr:nvSpPr>
      <xdr:spPr>
        <a:xfrm>
          <a:off x="9134475" y="2896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0</xdr:colOff>
      <xdr:row>152</xdr:row>
      <xdr:rowOff>0</xdr:rowOff>
    </xdr:from>
    <xdr:to>
      <xdr:col>14</xdr:col>
      <xdr:colOff>0</xdr:colOff>
      <xdr:row>152</xdr:row>
      <xdr:rowOff>0</xdr:rowOff>
    </xdr:to>
    <xdr:sp>
      <xdr:nvSpPr>
        <xdr:cNvPr id="758" name="Rectangle 18"/>
        <xdr:cNvSpPr>
          <a:spLocks/>
        </xdr:cNvSpPr>
      </xdr:nvSpPr>
      <xdr:spPr>
        <a:xfrm>
          <a:off x="9134475" y="2896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211</xdr:row>
      <xdr:rowOff>0</xdr:rowOff>
    </xdr:from>
    <xdr:to>
      <xdr:col>8</xdr:col>
      <xdr:colOff>314325</xdr:colOff>
      <xdr:row>211</xdr:row>
      <xdr:rowOff>0</xdr:rowOff>
    </xdr:to>
    <xdr:sp>
      <xdr:nvSpPr>
        <xdr:cNvPr id="759" name="Rectangle 47"/>
        <xdr:cNvSpPr>
          <a:spLocks/>
        </xdr:cNvSpPr>
      </xdr:nvSpPr>
      <xdr:spPr>
        <a:xfrm>
          <a:off x="6381750" y="4079557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19050</xdr:colOff>
      <xdr:row>211</xdr:row>
      <xdr:rowOff>0</xdr:rowOff>
    </xdr:from>
    <xdr:to>
      <xdr:col>10</xdr:col>
      <xdr:colOff>314325</xdr:colOff>
      <xdr:row>211</xdr:row>
      <xdr:rowOff>0</xdr:rowOff>
    </xdr:to>
    <xdr:sp>
      <xdr:nvSpPr>
        <xdr:cNvPr id="760" name="Rectangle 48"/>
        <xdr:cNvSpPr>
          <a:spLocks/>
        </xdr:cNvSpPr>
      </xdr:nvSpPr>
      <xdr:spPr>
        <a:xfrm>
          <a:off x="7277100" y="4079557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19050</xdr:colOff>
      <xdr:row>211</xdr:row>
      <xdr:rowOff>0</xdr:rowOff>
    </xdr:from>
    <xdr:to>
      <xdr:col>8</xdr:col>
      <xdr:colOff>314325</xdr:colOff>
      <xdr:row>211</xdr:row>
      <xdr:rowOff>0</xdr:rowOff>
    </xdr:to>
    <xdr:sp>
      <xdr:nvSpPr>
        <xdr:cNvPr id="761" name="Rectangle 49"/>
        <xdr:cNvSpPr>
          <a:spLocks/>
        </xdr:cNvSpPr>
      </xdr:nvSpPr>
      <xdr:spPr>
        <a:xfrm>
          <a:off x="6362700" y="4079557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211</xdr:row>
      <xdr:rowOff>0</xdr:rowOff>
    </xdr:from>
    <xdr:to>
      <xdr:col>10</xdr:col>
      <xdr:colOff>314325</xdr:colOff>
      <xdr:row>211</xdr:row>
      <xdr:rowOff>0</xdr:rowOff>
    </xdr:to>
    <xdr:sp>
      <xdr:nvSpPr>
        <xdr:cNvPr id="762" name="Rectangle 50"/>
        <xdr:cNvSpPr>
          <a:spLocks/>
        </xdr:cNvSpPr>
      </xdr:nvSpPr>
      <xdr:spPr>
        <a:xfrm>
          <a:off x="7296150" y="4079557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123825</xdr:colOff>
      <xdr:row>198</xdr:row>
      <xdr:rowOff>0</xdr:rowOff>
    </xdr:from>
    <xdr:to>
      <xdr:col>8</xdr:col>
      <xdr:colOff>400050</xdr:colOff>
      <xdr:row>199</xdr:row>
      <xdr:rowOff>19050</xdr:rowOff>
    </xdr:to>
    <xdr:sp>
      <xdr:nvSpPr>
        <xdr:cNvPr id="763" name="Rectangle 51"/>
        <xdr:cNvSpPr>
          <a:spLocks/>
        </xdr:cNvSpPr>
      </xdr:nvSpPr>
      <xdr:spPr>
        <a:xfrm>
          <a:off x="6467475" y="38185725"/>
          <a:ext cx="2762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85725</xdr:colOff>
      <xdr:row>198</xdr:row>
      <xdr:rowOff>0</xdr:rowOff>
    </xdr:from>
    <xdr:to>
      <xdr:col>10</xdr:col>
      <xdr:colOff>409575</xdr:colOff>
      <xdr:row>199</xdr:row>
      <xdr:rowOff>19050</xdr:rowOff>
    </xdr:to>
    <xdr:sp>
      <xdr:nvSpPr>
        <xdr:cNvPr id="764" name="Rectangle 52"/>
        <xdr:cNvSpPr>
          <a:spLocks/>
        </xdr:cNvSpPr>
      </xdr:nvSpPr>
      <xdr:spPr>
        <a:xfrm>
          <a:off x="7343775" y="38185725"/>
          <a:ext cx="3238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85725</xdr:colOff>
      <xdr:row>198</xdr:row>
      <xdr:rowOff>0</xdr:rowOff>
    </xdr:from>
    <xdr:to>
      <xdr:col>10</xdr:col>
      <xdr:colOff>409575</xdr:colOff>
      <xdr:row>199</xdr:row>
      <xdr:rowOff>19050</xdr:rowOff>
    </xdr:to>
    <xdr:sp>
      <xdr:nvSpPr>
        <xdr:cNvPr id="765" name="Rectangle 59"/>
        <xdr:cNvSpPr>
          <a:spLocks/>
        </xdr:cNvSpPr>
      </xdr:nvSpPr>
      <xdr:spPr>
        <a:xfrm>
          <a:off x="7343775" y="38185725"/>
          <a:ext cx="3238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123825</xdr:colOff>
      <xdr:row>198</xdr:row>
      <xdr:rowOff>0</xdr:rowOff>
    </xdr:from>
    <xdr:to>
      <xdr:col>10</xdr:col>
      <xdr:colOff>400050</xdr:colOff>
      <xdr:row>199</xdr:row>
      <xdr:rowOff>19050</xdr:rowOff>
    </xdr:to>
    <xdr:sp>
      <xdr:nvSpPr>
        <xdr:cNvPr id="766" name="Rectangle 61"/>
        <xdr:cNvSpPr>
          <a:spLocks/>
        </xdr:cNvSpPr>
      </xdr:nvSpPr>
      <xdr:spPr>
        <a:xfrm>
          <a:off x="7381875" y="38185725"/>
          <a:ext cx="2762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198</xdr:row>
      <xdr:rowOff>0</xdr:rowOff>
    </xdr:from>
    <xdr:to>
      <xdr:col>10</xdr:col>
      <xdr:colOff>381000</xdr:colOff>
      <xdr:row>199</xdr:row>
      <xdr:rowOff>19050</xdr:rowOff>
    </xdr:to>
    <xdr:sp>
      <xdr:nvSpPr>
        <xdr:cNvPr id="767" name="Rectangle 62"/>
        <xdr:cNvSpPr>
          <a:spLocks/>
        </xdr:cNvSpPr>
      </xdr:nvSpPr>
      <xdr:spPr>
        <a:xfrm>
          <a:off x="7296150" y="38185725"/>
          <a:ext cx="3429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</a:p>
      </xdr:txBody>
    </xdr:sp>
    <xdr:clientData/>
  </xdr:twoCellAnchor>
  <xdr:twoCellAnchor>
    <xdr:from>
      <xdr:col>10</xdr:col>
      <xdr:colOff>123825</xdr:colOff>
      <xdr:row>198</xdr:row>
      <xdr:rowOff>0</xdr:rowOff>
    </xdr:from>
    <xdr:to>
      <xdr:col>10</xdr:col>
      <xdr:colOff>400050</xdr:colOff>
      <xdr:row>199</xdr:row>
      <xdr:rowOff>19050</xdr:rowOff>
    </xdr:to>
    <xdr:sp>
      <xdr:nvSpPr>
        <xdr:cNvPr id="768" name="Rectangle 63"/>
        <xdr:cNvSpPr>
          <a:spLocks/>
        </xdr:cNvSpPr>
      </xdr:nvSpPr>
      <xdr:spPr>
        <a:xfrm>
          <a:off x="7381875" y="38185725"/>
          <a:ext cx="2762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198</xdr:row>
      <xdr:rowOff>0</xdr:rowOff>
    </xdr:from>
    <xdr:to>
      <xdr:col>10</xdr:col>
      <xdr:colOff>381000</xdr:colOff>
      <xdr:row>199</xdr:row>
      <xdr:rowOff>19050</xdr:rowOff>
    </xdr:to>
    <xdr:sp>
      <xdr:nvSpPr>
        <xdr:cNvPr id="769" name="Rectangle 64"/>
        <xdr:cNvSpPr>
          <a:spLocks/>
        </xdr:cNvSpPr>
      </xdr:nvSpPr>
      <xdr:spPr>
        <a:xfrm>
          <a:off x="7296150" y="38185725"/>
          <a:ext cx="3429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</a:p>
      </xdr:txBody>
    </xdr:sp>
    <xdr:clientData/>
  </xdr:twoCellAnchor>
  <xdr:twoCellAnchor>
    <xdr:from>
      <xdr:col>10</xdr:col>
      <xdr:colOff>123825</xdr:colOff>
      <xdr:row>198</xdr:row>
      <xdr:rowOff>0</xdr:rowOff>
    </xdr:from>
    <xdr:to>
      <xdr:col>10</xdr:col>
      <xdr:colOff>400050</xdr:colOff>
      <xdr:row>199</xdr:row>
      <xdr:rowOff>19050</xdr:rowOff>
    </xdr:to>
    <xdr:sp>
      <xdr:nvSpPr>
        <xdr:cNvPr id="770" name="Rectangle 65"/>
        <xdr:cNvSpPr>
          <a:spLocks/>
        </xdr:cNvSpPr>
      </xdr:nvSpPr>
      <xdr:spPr>
        <a:xfrm>
          <a:off x="7381875" y="38185725"/>
          <a:ext cx="2762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198</xdr:row>
      <xdr:rowOff>0</xdr:rowOff>
    </xdr:from>
    <xdr:to>
      <xdr:col>10</xdr:col>
      <xdr:colOff>381000</xdr:colOff>
      <xdr:row>199</xdr:row>
      <xdr:rowOff>19050</xdr:rowOff>
    </xdr:to>
    <xdr:sp>
      <xdr:nvSpPr>
        <xdr:cNvPr id="771" name="Rectangle 66"/>
        <xdr:cNvSpPr>
          <a:spLocks/>
        </xdr:cNvSpPr>
      </xdr:nvSpPr>
      <xdr:spPr>
        <a:xfrm>
          <a:off x="7296150" y="38185725"/>
          <a:ext cx="3429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</a:p>
      </xdr:txBody>
    </xdr:sp>
    <xdr:clientData/>
  </xdr:twoCellAnchor>
  <xdr:twoCellAnchor>
    <xdr:from>
      <xdr:col>10</xdr:col>
      <xdr:colOff>123825</xdr:colOff>
      <xdr:row>198</xdr:row>
      <xdr:rowOff>0</xdr:rowOff>
    </xdr:from>
    <xdr:to>
      <xdr:col>10</xdr:col>
      <xdr:colOff>400050</xdr:colOff>
      <xdr:row>199</xdr:row>
      <xdr:rowOff>19050</xdr:rowOff>
    </xdr:to>
    <xdr:sp>
      <xdr:nvSpPr>
        <xdr:cNvPr id="772" name="Rectangle 67"/>
        <xdr:cNvSpPr>
          <a:spLocks/>
        </xdr:cNvSpPr>
      </xdr:nvSpPr>
      <xdr:spPr>
        <a:xfrm>
          <a:off x="7381875" y="38185725"/>
          <a:ext cx="2762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198</xdr:row>
      <xdr:rowOff>0</xdr:rowOff>
    </xdr:from>
    <xdr:to>
      <xdr:col>10</xdr:col>
      <xdr:colOff>381000</xdr:colOff>
      <xdr:row>199</xdr:row>
      <xdr:rowOff>19050</xdr:rowOff>
    </xdr:to>
    <xdr:sp>
      <xdr:nvSpPr>
        <xdr:cNvPr id="773" name="Rectangle 68"/>
        <xdr:cNvSpPr>
          <a:spLocks/>
        </xdr:cNvSpPr>
      </xdr:nvSpPr>
      <xdr:spPr>
        <a:xfrm>
          <a:off x="7296150" y="38185725"/>
          <a:ext cx="3429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42</xdr:row>
      <xdr:rowOff>0</xdr:rowOff>
    </xdr:from>
    <xdr:to>
      <xdr:col>22</xdr:col>
      <xdr:colOff>0</xdr:colOff>
      <xdr:row>42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1934825" y="8963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20</xdr:col>
      <xdr:colOff>38100</xdr:colOff>
      <xdr:row>99</xdr:row>
      <xdr:rowOff>0</xdr:rowOff>
    </xdr:from>
    <xdr:to>
      <xdr:col>20</xdr:col>
      <xdr:colOff>314325</xdr:colOff>
      <xdr:row>99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1068050" y="183070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22</xdr:col>
      <xdr:colOff>0</xdr:colOff>
      <xdr:row>99</xdr:row>
      <xdr:rowOff>0</xdr:rowOff>
    </xdr:from>
    <xdr:to>
      <xdr:col>22</xdr:col>
      <xdr:colOff>0</xdr:colOff>
      <xdr:row>99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1934825" y="1830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28</xdr:col>
      <xdr:colOff>38100</xdr:colOff>
      <xdr:row>99</xdr:row>
      <xdr:rowOff>0</xdr:rowOff>
    </xdr:from>
    <xdr:to>
      <xdr:col>28</xdr:col>
      <xdr:colOff>314325</xdr:colOff>
      <xdr:row>99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4620875" y="183070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33</xdr:col>
      <xdr:colOff>19050</xdr:colOff>
      <xdr:row>99</xdr:row>
      <xdr:rowOff>0</xdr:rowOff>
    </xdr:from>
    <xdr:to>
      <xdr:col>33</xdr:col>
      <xdr:colOff>314325</xdr:colOff>
      <xdr:row>99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7221200" y="183070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35</xdr:col>
      <xdr:colOff>19050</xdr:colOff>
      <xdr:row>99</xdr:row>
      <xdr:rowOff>0</xdr:rowOff>
    </xdr:from>
    <xdr:to>
      <xdr:col>35</xdr:col>
      <xdr:colOff>314325</xdr:colOff>
      <xdr:row>99</xdr:row>
      <xdr:rowOff>0</xdr:rowOff>
    </xdr:to>
    <xdr:sp>
      <xdr:nvSpPr>
        <xdr:cNvPr id="6" name="Rectangle 6"/>
        <xdr:cNvSpPr>
          <a:spLocks/>
        </xdr:cNvSpPr>
      </xdr:nvSpPr>
      <xdr:spPr>
        <a:xfrm>
          <a:off x="18183225" y="183070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7" name="Rectangle 7"/>
        <xdr:cNvSpPr>
          <a:spLocks/>
        </xdr:cNvSpPr>
      </xdr:nvSpPr>
      <xdr:spPr>
        <a:xfrm>
          <a:off x="4895850" y="8963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20</xdr:col>
      <xdr:colOff>123825</xdr:colOff>
      <xdr:row>42</xdr:row>
      <xdr:rowOff>0</xdr:rowOff>
    </xdr:from>
    <xdr:to>
      <xdr:col>20</xdr:col>
      <xdr:colOff>419100</xdr:colOff>
      <xdr:row>42</xdr:row>
      <xdr:rowOff>0</xdr:rowOff>
    </xdr:to>
    <xdr:sp>
      <xdr:nvSpPr>
        <xdr:cNvPr id="8" name="Rectangle 8"/>
        <xdr:cNvSpPr>
          <a:spLocks/>
        </xdr:cNvSpPr>
      </xdr:nvSpPr>
      <xdr:spPr>
        <a:xfrm>
          <a:off x="11153775" y="89630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48</xdr:col>
      <xdr:colOff>504825</xdr:colOff>
      <xdr:row>42</xdr:row>
      <xdr:rowOff>0</xdr:rowOff>
    </xdr:from>
    <xdr:to>
      <xdr:col>49</xdr:col>
      <xdr:colOff>133350</xdr:colOff>
      <xdr:row>44</xdr:row>
      <xdr:rowOff>28575</xdr:rowOff>
    </xdr:to>
    <xdr:sp>
      <xdr:nvSpPr>
        <xdr:cNvPr id="9" name="Rectangle 9"/>
        <xdr:cNvSpPr>
          <a:spLocks/>
        </xdr:cNvSpPr>
      </xdr:nvSpPr>
      <xdr:spPr>
        <a:xfrm flipH="1">
          <a:off x="26279475" y="8963025"/>
          <a:ext cx="381000" cy="76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33</xdr:col>
      <xdr:colOff>152400</xdr:colOff>
      <xdr:row>42</xdr:row>
      <xdr:rowOff>0</xdr:rowOff>
    </xdr:from>
    <xdr:to>
      <xdr:col>33</xdr:col>
      <xdr:colOff>457200</xdr:colOff>
      <xdr:row>42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17354550" y="89630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37</xdr:col>
      <xdr:colOff>152400</xdr:colOff>
      <xdr:row>42</xdr:row>
      <xdr:rowOff>0</xdr:rowOff>
    </xdr:from>
    <xdr:to>
      <xdr:col>37</xdr:col>
      <xdr:colOff>447675</xdr:colOff>
      <xdr:row>42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19516725" y="89630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20</xdr:col>
      <xdr:colOff>38100</xdr:colOff>
      <xdr:row>99</xdr:row>
      <xdr:rowOff>0</xdr:rowOff>
    </xdr:from>
    <xdr:to>
      <xdr:col>20</xdr:col>
      <xdr:colOff>314325</xdr:colOff>
      <xdr:row>99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11068050" y="183070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22</xdr:col>
      <xdr:colOff>0</xdr:colOff>
      <xdr:row>99</xdr:row>
      <xdr:rowOff>0</xdr:rowOff>
    </xdr:from>
    <xdr:to>
      <xdr:col>22</xdr:col>
      <xdr:colOff>0</xdr:colOff>
      <xdr:row>99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1934825" y="1830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28</xdr:col>
      <xdr:colOff>38100</xdr:colOff>
      <xdr:row>99</xdr:row>
      <xdr:rowOff>0</xdr:rowOff>
    </xdr:from>
    <xdr:to>
      <xdr:col>28</xdr:col>
      <xdr:colOff>314325</xdr:colOff>
      <xdr:row>99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14620875" y="183070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33</xdr:col>
      <xdr:colOff>19050</xdr:colOff>
      <xdr:row>99</xdr:row>
      <xdr:rowOff>0</xdr:rowOff>
    </xdr:from>
    <xdr:to>
      <xdr:col>33</xdr:col>
      <xdr:colOff>314325</xdr:colOff>
      <xdr:row>99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17221200" y="183070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35</xdr:col>
      <xdr:colOff>19050</xdr:colOff>
      <xdr:row>99</xdr:row>
      <xdr:rowOff>0</xdr:rowOff>
    </xdr:from>
    <xdr:to>
      <xdr:col>35</xdr:col>
      <xdr:colOff>314325</xdr:colOff>
      <xdr:row>99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8183225" y="183070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39</xdr:col>
      <xdr:colOff>152400</xdr:colOff>
      <xdr:row>42</xdr:row>
      <xdr:rowOff>0</xdr:rowOff>
    </xdr:from>
    <xdr:to>
      <xdr:col>39</xdr:col>
      <xdr:colOff>447675</xdr:colOff>
      <xdr:row>42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20431125" y="89630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37</xdr:col>
      <xdr:colOff>142875</xdr:colOff>
      <xdr:row>42</xdr:row>
      <xdr:rowOff>0</xdr:rowOff>
    </xdr:from>
    <xdr:to>
      <xdr:col>37</xdr:col>
      <xdr:colOff>428625</xdr:colOff>
      <xdr:row>42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19507200" y="8963025"/>
          <a:ext cx="285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39</xdr:col>
      <xdr:colOff>142875</xdr:colOff>
      <xdr:row>42</xdr:row>
      <xdr:rowOff>0</xdr:rowOff>
    </xdr:from>
    <xdr:to>
      <xdr:col>39</xdr:col>
      <xdr:colOff>447675</xdr:colOff>
      <xdr:row>42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20421600" y="89630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6</xdr:col>
      <xdr:colOff>0</xdr:colOff>
      <xdr:row>99</xdr:row>
      <xdr:rowOff>0</xdr:rowOff>
    </xdr:from>
    <xdr:to>
      <xdr:col>6</xdr:col>
      <xdr:colOff>0</xdr:colOff>
      <xdr:row>99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4895850" y="1830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20</xdr:col>
      <xdr:colOff>19050</xdr:colOff>
      <xdr:row>99</xdr:row>
      <xdr:rowOff>0</xdr:rowOff>
    </xdr:from>
    <xdr:to>
      <xdr:col>20</xdr:col>
      <xdr:colOff>314325</xdr:colOff>
      <xdr:row>99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11049000" y="183070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22</xdr:col>
      <xdr:colOff>0</xdr:colOff>
      <xdr:row>99</xdr:row>
      <xdr:rowOff>0</xdr:rowOff>
    </xdr:from>
    <xdr:to>
      <xdr:col>22</xdr:col>
      <xdr:colOff>0</xdr:colOff>
      <xdr:row>99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11934825" y="1830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28</xdr:col>
      <xdr:colOff>19050</xdr:colOff>
      <xdr:row>99</xdr:row>
      <xdr:rowOff>0</xdr:rowOff>
    </xdr:from>
    <xdr:to>
      <xdr:col>28</xdr:col>
      <xdr:colOff>314325</xdr:colOff>
      <xdr:row>99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14601825" y="183070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33</xdr:col>
      <xdr:colOff>19050</xdr:colOff>
      <xdr:row>99</xdr:row>
      <xdr:rowOff>0</xdr:rowOff>
    </xdr:from>
    <xdr:to>
      <xdr:col>33</xdr:col>
      <xdr:colOff>314325</xdr:colOff>
      <xdr:row>99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17221200" y="183070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46</xdr:col>
      <xdr:colOff>504825</xdr:colOff>
      <xdr:row>42</xdr:row>
      <xdr:rowOff>0</xdr:rowOff>
    </xdr:from>
    <xdr:to>
      <xdr:col>47</xdr:col>
      <xdr:colOff>133350</xdr:colOff>
      <xdr:row>42</xdr:row>
      <xdr:rowOff>0</xdr:rowOff>
    </xdr:to>
    <xdr:sp>
      <xdr:nvSpPr>
        <xdr:cNvPr id="25" name="Rectangle 25"/>
        <xdr:cNvSpPr>
          <a:spLocks/>
        </xdr:cNvSpPr>
      </xdr:nvSpPr>
      <xdr:spPr>
        <a:xfrm flipH="1">
          <a:off x="24774525" y="8963025"/>
          <a:ext cx="38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99</xdr:row>
      <xdr:rowOff>0</xdr:rowOff>
    </xdr:from>
    <xdr:to>
      <xdr:col>6</xdr:col>
      <xdr:colOff>0</xdr:colOff>
      <xdr:row>99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4895850" y="1830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20</xdr:col>
      <xdr:colOff>19050</xdr:colOff>
      <xdr:row>99</xdr:row>
      <xdr:rowOff>0</xdr:rowOff>
    </xdr:from>
    <xdr:to>
      <xdr:col>20</xdr:col>
      <xdr:colOff>314325</xdr:colOff>
      <xdr:row>99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11049000" y="183070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22</xdr:col>
      <xdr:colOff>0</xdr:colOff>
      <xdr:row>99</xdr:row>
      <xdr:rowOff>0</xdr:rowOff>
    </xdr:from>
    <xdr:to>
      <xdr:col>22</xdr:col>
      <xdr:colOff>0</xdr:colOff>
      <xdr:row>99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11934825" y="1830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28</xdr:col>
      <xdr:colOff>19050</xdr:colOff>
      <xdr:row>99</xdr:row>
      <xdr:rowOff>0</xdr:rowOff>
    </xdr:from>
    <xdr:to>
      <xdr:col>28</xdr:col>
      <xdr:colOff>314325</xdr:colOff>
      <xdr:row>99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14601825" y="183070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33</xdr:col>
      <xdr:colOff>19050</xdr:colOff>
      <xdr:row>99</xdr:row>
      <xdr:rowOff>0</xdr:rowOff>
    </xdr:from>
    <xdr:to>
      <xdr:col>33</xdr:col>
      <xdr:colOff>314325</xdr:colOff>
      <xdr:row>99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17221200" y="183070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6</xdr:col>
      <xdr:colOff>0</xdr:colOff>
      <xdr:row>99</xdr:row>
      <xdr:rowOff>0</xdr:rowOff>
    </xdr:from>
    <xdr:to>
      <xdr:col>6</xdr:col>
      <xdr:colOff>0</xdr:colOff>
      <xdr:row>99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4895850" y="1830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20</xdr:col>
      <xdr:colOff>19050</xdr:colOff>
      <xdr:row>99</xdr:row>
      <xdr:rowOff>0</xdr:rowOff>
    </xdr:from>
    <xdr:to>
      <xdr:col>20</xdr:col>
      <xdr:colOff>314325</xdr:colOff>
      <xdr:row>99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11049000" y="183070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6</xdr:col>
      <xdr:colOff>0</xdr:colOff>
      <xdr:row>99</xdr:row>
      <xdr:rowOff>0</xdr:rowOff>
    </xdr:from>
    <xdr:to>
      <xdr:col>6</xdr:col>
      <xdr:colOff>0</xdr:colOff>
      <xdr:row>99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4895850" y="1830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20</xdr:col>
      <xdr:colOff>19050</xdr:colOff>
      <xdr:row>99</xdr:row>
      <xdr:rowOff>0</xdr:rowOff>
    </xdr:from>
    <xdr:to>
      <xdr:col>20</xdr:col>
      <xdr:colOff>314325</xdr:colOff>
      <xdr:row>99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11049000" y="183070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20</xdr:col>
      <xdr:colOff>38100</xdr:colOff>
      <xdr:row>99</xdr:row>
      <xdr:rowOff>0</xdr:rowOff>
    </xdr:from>
    <xdr:to>
      <xdr:col>20</xdr:col>
      <xdr:colOff>314325</xdr:colOff>
      <xdr:row>99</xdr:row>
      <xdr:rowOff>0</xdr:rowOff>
    </xdr:to>
    <xdr:sp>
      <xdr:nvSpPr>
        <xdr:cNvPr id="35" name="Rectangle 35"/>
        <xdr:cNvSpPr>
          <a:spLocks/>
        </xdr:cNvSpPr>
      </xdr:nvSpPr>
      <xdr:spPr>
        <a:xfrm>
          <a:off x="11068050" y="183070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22</xdr:col>
      <xdr:colOff>0</xdr:colOff>
      <xdr:row>99</xdr:row>
      <xdr:rowOff>0</xdr:rowOff>
    </xdr:from>
    <xdr:to>
      <xdr:col>22</xdr:col>
      <xdr:colOff>0</xdr:colOff>
      <xdr:row>99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11934825" y="1830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28</xdr:col>
      <xdr:colOff>38100</xdr:colOff>
      <xdr:row>99</xdr:row>
      <xdr:rowOff>0</xdr:rowOff>
    </xdr:from>
    <xdr:to>
      <xdr:col>28</xdr:col>
      <xdr:colOff>314325</xdr:colOff>
      <xdr:row>99</xdr:row>
      <xdr:rowOff>0</xdr:rowOff>
    </xdr:to>
    <xdr:sp>
      <xdr:nvSpPr>
        <xdr:cNvPr id="37" name="Rectangle 37"/>
        <xdr:cNvSpPr>
          <a:spLocks/>
        </xdr:cNvSpPr>
      </xdr:nvSpPr>
      <xdr:spPr>
        <a:xfrm>
          <a:off x="14620875" y="183070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33</xdr:col>
      <xdr:colOff>19050</xdr:colOff>
      <xdr:row>99</xdr:row>
      <xdr:rowOff>0</xdr:rowOff>
    </xdr:from>
    <xdr:to>
      <xdr:col>33</xdr:col>
      <xdr:colOff>314325</xdr:colOff>
      <xdr:row>99</xdr:row>
      <xdr:rowOff>0</xdr:rowOff>
    </xdr:to>
    <xdr:sp>
      <xdr:nvSpPr>
        <xdr:cNvPr id="38" name="Rectangle 38"/>
        <xdr:cNvSpPr>
          <a:spLocks/>
        </xdr:cNvSpPr>
      </xdr:nvSpPr>
      <xdr:spPr>
        <a:xfrm>
          <a:off x="17221200" y="183070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35</xdr:col>
      <xdr:colOff>19050</xdr:colOff>
      <xdr:row>99</xdr:row>
      <xdr:rowOff>0</xdr:rowOff>
    </xdr:from>
    <xdr:to>
      <xdr:col>35</xdr:col>
      <xdr:colOff>314325</xdr:colOff>
      <xdr:row>99</xdr:row>
      <xdr:rowOff>0</xdr:rowOff>
    </xdr:to>
    <xdr:sp>
      <xdr:nvSpPr>
        <xdr:cNvPr id="39" name="Rectangle 39"/>
        <xdr:cNvSpPr>
          <a:spLocks/>
        </xdr:cNvSpPr>
      </xdr:nvSpPr>
      <xdr:spPr>
        <a:xfrm>
          <a:off x="18183225" y="183070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48</xdr:col>
      <xdr:colOff>504825</xdr:colOff>
      <xdr:row>42</xdr:row>
      <xdr:rowOff>0</xdr:rowOff>
    </xdr:from>
    <xdr:to>
      <xdr:col>49</xdr:col>
      <xdr:colOff>133350</xdr:colOff>
      <xdr:row>42</xdr:row>
      <xdr:rowOff>0</xdr:rowOff>
    </xdr:to>
    <xdr:sp>
      <xdr:nvSpPr>
        <xdr:cNvPr id="40" name="Rectangle 40"/>
        <xdr:cNvSpPr>
          <a:spLocks/>
        </xdr:cNvSpPr>
      </xdr:nvSpPr>
      <xdr:spPr>
        <a:xfrm flipH="1">
          <a:off x="26279475" y="8963025"/>
          <a:ext cx="38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38100</xdr:colOff>
      <xdr:row>99</xdr:row>
      <xdr:rowOff>0</xdr:rowOff>
    </xdr:from>
    <xdr:to>
      <xdr:col>4</xdr:col>
      <xdr:colOff>314325</xdr:colOff>
      <xdr:row>99</xdr:row>
      <xdr:rowOff>0</xdr:rowOff>
    </xdr:to>
    <xdr:sp>
      <xdr:nvSpPr>
        <xdr:cNvPr id="41" name="Rectangle 41"/>
        <xdr:cNvSpPr>
          <a:spLocks/>
        </xdr:cNvSpPr>
      </xdr:nvSpPr>
      <xdr:spPr>
        <a:xfrm>
          <a:off x="4029075" y="183070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22</xdr:col>
      <xdr:colOff>0</xdr:colOff>
      <xdr:row>99</xdr:row>
      <xdr:rowOff>0</xdr:rowOff>
    </xdr:from>
    <xdr:to>
      <xdr:col>22</xdr:col>
      <xdr:colOff>0</xdr:colOff>
      <xdr:row>99</xdr:row>
      <xdr:rowOff>0</xdr:rowOff>
    </xdr:to>
    <xdr:sp>
      <xdr:nvSpPr>
        <xdr:cNvPr id="42" name="Rectangle 42"/>
        <xdr:cNvSpPr>
          <a:spLocks/>
        </xdr:cNvSpPr>
      </xdr:nvSpPr>
      <xdr:spPr>
        <a:xfrm>
          <a:off x="11934825" y="1830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28</xdr:col>
      <xdr:colOff>38100</xdr:colOff>
      <xdr:row>99</xdr:row>
      <xdr:rowOff>0</xdr:rowOff>
    </xdr:from>
    <xdr:to>
      <xdr:col>28</xdr:col>
      <xdr:colOff>314325</xdr:colOff>
      <xdr:row>99</xdr:row>
      <xdr:rowOff>0</xdr:rowOff>
    </xdr:to>
    <xdr:sp>
      <xdr:nvSpPr>
        <xdr:cNvPr id="43" name="Rectangle 43"/>
        <xdr:cNvSpPr>
          <a:spLocks/>
        </xdr:cNvSpPr>
      </xdr:nvSpPr>
      <xdr:spPr>
        <a:xfrm>
          <a:off x="14620875" y="183070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33</xdr:col>
      <xdr:colOff>19050</xdr:colOff>
      <xdr:row>99</xdr:row>
      <xdr:rowOff>0</xdr:rowOff>
    </xdr:from>
    <xdr:to>
      <xdr:col>33</xdr:col>
      <xdr:colOff>314325</xdr:colOff>
      <xdr:row>99</xdr:row>
      <xdr:rowOff>0</xdr:rowOff>
    </xdr:to>
    <xdr:sp>
      <xdr:nvSpPr>
        <xdr:cNvPr id="44" name="Rectangle 44"/>
        <xdr:cNvSpPr>
          <a:spLocks/>
        </xdr:cNvSpPr>
      </xdr:nvSpPr>
      <xdr:spPr>
        <a:xfrm>
          <a:off x="17221200" y="183070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35</xdr:col>
      <xdr:colOff>19050</xdr:colOff>
      <xdr:row>99</xdr:row>
      <xdr:rowOff>0</xdr:rowOff>
    </xdr:from>
    <xdr:to>
      <xdr:col>35</xdr:col>
      <xdr:colOff>314325</xdr:colOff>
      <xdr:row>99</xdr:row>
      <xdr:rowOff>0</xdr:rowOff>
    </xdr:to>
    <xdr:sp>
      <xdr:nvSpPr>
        <xdr:cNvPr id="45" name="Rectangle 45"/>
        <xdr:cNvSpPr>
          <a:spLocks/>
        </xdr:cNvSpPr>
      </xdr:nvSpPr>
      <xdr:spPr>
        <a:xfrm>
          <a:off x="18183225" y="183070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20</xdr:col>
      <xdr:colOff>38100</xdr:colOff>
      <xdr:row>99</xdr:row>
      <xdr:rowOff>0</xdr:rowOff>
    </xdr:from>
    <xdr:to>
      <xdr:col>20</xdr:col>
      <xdr:colOff>314325</xdr:colOff>
      <xdr:row>99</xdr:row>
      <xdr:rowOff>0</xdr:rowOff>
    </xdr:to>
    <xdr:sp>
      <xdr:nvSpPr>
        <xdr:cNvPr id="46" name="Rectangle 46"/>
        <xdr:cNvSpPr>
          <a:spLocks/>
        </xdr:cNvSpPr>
      </xdr:nvSpPr>
      <xdr:spPr>
        <a:xfrm>
          <a:off x="11068050" y="183070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6</xdr:col>
      <xdr:colOff>0</xdr:colOff>
      <xdr:row>99</xdr:row>
      <xdr:rowOff>0</xdr:rowOff>
    </xdr:from>
    <xdr:to>
      <xdr:col>6</xdr:col>
      <xdr:colOff>0</xdr:colOff>
      <xdr:row>99</xdr:row>
      <xdr:rowOff>0</xdr:rowOff>
    </xdr:to>
    <xdr:sp>
      <xdr:nvSpPr>
        <xdr:cNvPr id="47" name="Rectangle 47"/>
        <xdr:cNvSpPr>
          <a:spLocks/>
        </xdr:cNvSpPr>
      </xdr:nvSpPr>
      <xdr:spPr>
        <a:xfrm>
          <a:off x="4895850" y="1830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20</xdr:col>
      <xdr:colOff>38100</xdr:colOff>
      <xdr:row>99</xdr:row>
      <xdr:rowOff>0</xdr:rowOff>
    </xdr:from>
    <xdr:to>
      <xdr:col>20</xdr:col>
      <xdr:colOff>314325</xdr:colOff>
      <xdr:row>99</xdr:row>
      <xdr:rowOff>0</xdr:rowOff>
    </xdr:to>
    <xdr:sp>
      <xdr:nvSpPr>
        <xdr:cNvPr id="48" name="Rectangle 48"/>
        <xdr:cNvSpPr>
          <a:spLocks/>
        </xdr:cNvSpPr>
      </xdr:nvSpPr>
      <xdr:spPr>
        <a:xfrm>
          <a:off x="11068050" y="183070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28</xdr:col>
      <xdr:colOff>19050</xdr:colOff>
      <xdr:row>99</xdr:row>
      <xdr:rowOff>0</xdr:rowOff>
    </xdr:from>
    <xdr:to>
      <xdr:col>28</xdr:col>
      <xdr:colOff>314325</xdr:colOff>
      <xdr:row>99</xdr:row>
      <xdr:rowOff>0</xdr:rowOff>
    </xdr:to>
    <xdr:sp>
      <xdr:nvSpPr>
        <xdr:cNvPr id="49" name="Rectangle 49"/>
        <xdr:cNvSpPr>
          <a:spLocks/>
        </xdr:cNvSpPr>
      </xdr:nvSpPr>
      <xdr:spPr>
        <a:xfrm>
          <a:off x="14601825" y="183070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35</xdr:col>
      <xdr:colOff>19050</xdr:colOff>
      <xdr:row>99</xdr:row>
      <xdr:rowOff>0</xdr:rowOff>
    </xdr:from>
    <xdr:to>
      <xdr:col>35</xdr:col>
      <xdr:colOff>314325</xdr:colOff>
      <xdr:row>99</xdr:row>
      <xdr:rowOff>0</xdr:rowOff>
    </xdr:to>
    <xdr:sp>
      <xdr:nvSpPr>
        <xdr:cNvPr id="50" name="Rectangle 50"/>
        <xdr:cNvSpPr>
          <a:spLocks/>
        </xdr:cNvSpPr>
      </xdr:nvSpPr>
      <xdr:spPr>
        <a:xfrm>
          <a:off x="18183225" y="183070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48</xdr:col>
      <xdr:colOff>504825</xdr:colOff>
      <xdr:row>42</xdr:row>
      <xdr:rowOff>0</xdr:rowOff>
    </xdr:from>
    <xdr:to>
      <xdr:col>49</xdr:col>
      <xdr:colOff>133350</xdr:colOff>
      <xdr:row>44</xdr:row>
      <xdr:rowOff>28575</xdr:rowOff>
    </xdr:to>
    <xdr:sp>
      <xdr:nvSpPr>
        <xdr:cNvPr id="51" name="Rectangle 51"/>
        <xdr:cNvSpPr>
          <a:spLocks/>
        </xdr:cNvSpPr>
      </xdr:nvSpPr>
      <xdr:spPr>
        <a:xfrm flipH="1">
          <a:off x="26279475" y="8963025"/>
          <a:ext cx="381000" cy="76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33</xdr:col>
      <xdr:colOff>152400</xdr:colOff>
      <xdr:row>42</xdr:row>
      <xdr:rowOff>0</xdr:rowOff>
    </xdr:from>
    <xdr:to>
      <xdr:col>33</xdr:col>
      <xdr:colOff>457200</xdr:colOff>
      <xdr:row>42</xdr:row>
      <xdr:rowOff>0</xdr:rowOff>
    </xdr:to>
    <xdr:sp>
      <xdr:nvSpPr>
        <xdr:cNvPr id="52" name="Rectangle 52"/>
        <xdr:cNvSpPr>
          <a:spLocks/>
        </xdr:cNvSpPr>
      </xdr:nvSpPr>
      <xdr:spPr>
        <a:xfrm>
          <a:off x="17354550" y="89630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37</xdr:col>
      <xdr:colOff>152400</xdr:colOff>
      <xdr:row>42</xdr:row>
      <xdr:rowOff>0</xdr:rowOff>
    </xdr:from>
    <xdr:to>
      <xdr:col>37</xdr:col>
      <xdr:colOff>447675</xdr:colOff>
      <xdr:row>42</xdr:row>
      <xdr:rowOff>0</xdr:rowOff>
    </xdr:to>
    <xdr:sp>
      <xdr:nvSpPr>
        <xdr:cNvPr id="53" name="Rectangle 53"/>
        <xdr:cNvSpPr>
          <a:spLocks/>
        </xdr:cNvSpPr>
      </xdr:nvSpPr>
      <xdr:spPr>
        <a:xfrm>
          <a:off x="19516725" y="89630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20</xdr:col>
      <xdr:colOff>38100</xdr:colOff>
      <xdr:row>99</xdr:row>
      <xdr:rowOff>0</xdr:rowOff>
    </xdr:from>
    <xdr:to>
      <xdr:col>20</xdr:col>
      <xdr:colOff>314325</xdr:colOff>
      <xdr:row>99</xdr:row>
      <xdr:rowOff>0</xdr:rowOff>
    </xdr:to>
    <xdr:sp>
      <xdr:nvSpPr>
        <xdr:cNvPr id="54" name="Rectangle 54"/>
        <xdr:cNvSpPr>
          <a:spLocks/>
        </xdr:cNvSpPr>
      </xdr:nvSpPr>
      <xdr:spPr>
        <a:xfrm>
          <a:off x="11068050" y="183070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22</xdr:col>
      <xdr:colOff>0</xdr:colOff>
      <xdr:row>99</xdr:row>
      <xdr:rowOff>0</xdr:rowOff>
    </xdr:from>
    <xdr:to>
      <xdr:col>22</xdr:col>
      <xdr:colOff>0</xdr:colOff>
      <xdr:row>99</xdr:row>
      <xdr:rowOff>0</xdr:rowOff>
    </xdr:to>
    <xdr:sp>
      <xdr:nvSpPr>
        <xdr:cNvPr id="55" name="Rectangle 55"/>
        <xdr:cNvSpPr>
          <a:spLocks/>
        </xdr:cNvSpPr>
      </xdr:nvSpPr>
      <xdr:spPr>
        <a:xfrm>
          <a:off x="11934825" y="1830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28</xdr:col>
      <xdr:colOff>38100</xdr:colOff>
      <xdr:row>99</xdr:row>
      <xdr:rowOff>0</xdr:rowOff>
    </xdr:from>
    <xdr:to>
      <xdr:col>28</xdr:col>
      <xdr:colOff>314325</xdr:colOff>
      <xdr:row>99</xdr:row>
      <xdr:rowOff>0</xdr:rowOff>
    </xdr:to>
    <xdr:sp>
      <xdr:nvSpPr>
        <xdr:cNvPr id="56" name="Rectangle 56"/>
        <xdr:cNvSpPr>
          <a:spLocks/>
        </xdr:cNvSpPr>
      </xdr:nvSpPr>
      <xdr:spPr>
        <a:xfrm>
          <a:off x="14620875" y="183070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33</xdr:col>
      <xdr:colOff>19050</xdr:colOff>
      <xdr:row>99</xdr:row>
      <xdr:rowOff>0</xdr:rowOff>
    </xdr:from>
    <xdr:to>
      <xdr:col>33</xdr:col>
      <xdr:colOff>314325</xdr:colOff>
      <xdr:row>99</xdr:row>
      <xdr:rowOff>0</xdr:rowOff>
    </xdr:to>
    <xdr:sp>
      <xdr:nvSpPr>
        <xdr:cNvPr id="57" name="Rectangle 57"/>
        <xdr:cNvSpPr>
          <a:spLocks/>
        </xdr:cNvSpPr>
      </xdr:nvSpPr>
      <xdr:spPr>
        <a:xfrm>
          <a:off x="17221200" y="183070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35</xdr:col>
      <xdr:colOff>19050</xdr:colOff>
      <xdr:row>99</xdr:row>
      <xdr:rowOff>0</xdr:rowOff>
    </xdr:from>
    <xdr:to>
      <xdr:col>35</xdr:col>
      <xdr:colOff>314325</xdr:colOff>
      <xdr:row>99</xdr:row>
      <xdr:rowOff>0</xdr:rowOff>
    </xdr:to>
    <xdr:sp>
      <xdr:nvSpPr>
        <xdr:cNvPr id="58" name="Rectangle 58"/>
        <xdr:cNvSpPr>
          <a:spLocks/>
        </xdr:cNvSpPr>
      </xdr:nvSpPr>
      <xdr:spPr>
        <a:xfrm>
          <a:off x="18183225" y="183070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39</xdr:col>
      <xdr:colOff>152400</xdr:colOff>
      <xdr:row>42</xdr:row>
      <xdr:rowOff>0</xdr:rowOff>
    </xdr:from>
    <xdr:to>
      <xdr:col>39</xdr:col>
      <xdr:colOff>447675</xdr:colOff>
      <xdr:row>42</xdr:row>
      <xdr:rowOff>0</xdr:rowOff>
    </xdr:to>
    <xdr:sp>
      <xdr:nvSpPr>
        <xdr:cNvPr id="59" name="Rectangle 59"/>
        <xdr:cNvSpPr>
          <a:spLocks/>
        </xdr:cNvSpPr>
      </xdr:nvSpPr>
      <xdr:spPr>
        <a:xfrm>
          <a:off x="20431125" y="89630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37</xdr:col>
      <xdr:colOff>142875</xdr:colOff>
      <xdr:row>42</xdr:row>
      <xdr:rowOff>0</xdr:rowOff>
    </xdr:from>
    <xdr:to>
      <xdr:col>37</xdr:col>
      <xdr:colOff>428625</xdr:colOff>
      <xdr:row>42</xdr:row>
      <xdr:rowOff>0</xdr:rowOff>
    </xdr:to>
    <xdr:sp>
      <xdr:nvSpPr>
        <xdr:cNvPr id="60" name="Rectangle 60"/>
        <xdr:cNvSpPr>
          <a:spLocks/>
        </xdr:cNvSpPr>
      </xdr:nvSpPr>
      <xdr:spPr>
        <a:xfrm>
          <a:off x="19507200" y="8963025"/>
          <a:ext cx="285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/>
          </a:r>
        </a:p>
      </xdr:txBody>
    </xdr:sp>
    <xdr:clientData/>
  </xdr:twoCellAnchor>
  <xdr:twoCellAnchor>
    <xdr:from>
      <xdr:col>39</xdr:col>
      <xdr:colOff>142875</xdr:colOff>
      <xdr:row>42</xdr:row>
      <xdr:rowOff>0</xdr:rowOff>
    </xdr:from>
    <xdr:to>
      <xdr:col>39</xdr:col>
      <xdr:colOff>447675</xdr:colOff>
      <xdr:row>42</xdr:row>
      <xdr:rowOff>0</xdr:rowOff>
    </xdr:to>
    <xdr:sp>
      <xdr:nvSpPr>
        <xdr:cNvPr id="61" name="Rectangle 61"/>
        <xdr:cNvSpPr>
          <a:spLocks/>
        </xdr:cNvSpPr>
      </xdr:nvSpPr>
      <xdr:spPr>
        <a:xfrm>
          <a:off x="20421600" y="89630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6</xdr:col>
      <xdr:colOff>0</xdr:colOff>
      <xdr:row>99</xdr:row>
      <xdr:rowOff>0</xdr:rowOff>
    </xdr:from>
    <xdr:to>
      <xdr:col>6</xdr:col>
      <xdr:colOff>0</xdr:colOff>
      <xdr:row>99</xdr:row>
      <xdr:rowOff>0</xdr:rowOff>
    </xdr:to>
    <xdr:sp>
      <xdr:nvSpPr>
        <xdr:cNvPr id="62" name="Rectangle 62"/>
        <xdr:cNvSpPr>
          <a:spLocks/>
        </xdr:cNvSpPr>
      </xdr:nvSpPr>
      <xdr:spPr>
        <a:xfrm>
          <a:off x="4895850" y="1830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20</xdr:col>
      <xdr:colOff>19050</xdr:colOff>
      <xdr:row>99</xdr:row>
      <xdr:rowOff>0</xdr:rowOff>
    </xdr:from>
    <xdr:to>
      <xdr:col>20</xdr:col>
      <xdr:colOff>314325</xdr:colOff>
      <xdr:row>99</xdr:row>
      <xdr:rowOff>0</xdr:rowOff>
    </xdr:to>
    <xdr:sp>
      <xdr:nvSpPr>
        <xdr:cNvPr id="63" name="Rectangle 63"/>
        <xdr:cNvSpPr>
          <a:spLocks/>
        </xdr:cNvSpPr>
      </xdr:nvSpPr>
      <xdr:spPr>
        <a:xfrm>
          <a:off x="11049000" y="183070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22</xdr:col>
      <xdr:colOff>0</xdr:colOff>
      <xdr:row>99</xdr:row>
      <xdr:rowOff>0</xdr:rowOff>
    </xdr:from>
    <xdr:to>
      <xdr:col>22</xdr:col>
      <xdr:colOff>0</xdr:colOff>
      <xdr:row>99</xdr:row>
      <xdr:rowOff>0</xdr:rowOff>
    </xdr:to>
    <xdr:sp>
      <xdr:nvSpPr>
        <xdr:cNvPr id="64" name="Rectangle 64"/>
        <xdr:cNvSpPr>
          <a:spLocks/>
        </xdr:cNvSpPr>
      </xdr:nvSpPr>
      <xdr:spPr>
        <a:xfrm>
          <a:off x="11934825" y="1830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28</xdr:col>
      <xdr:colOff>19050</xdr:colOff>
      <xdr:row>99</xdr:row>
      <xdr:rowOff>0</xdr:rowOff>
    </xdr:from>
    <xdr:to>
      <xdr:col>28</xdr:col>
      <xdr:colOff>314325</xdr:colOff>
      <xdr:row>99</xdr:row>
      <xdr:rowOff>0</xdr:rowOff>
    </xdr:to>
    <xdr:sp>
      <xdr:nvSpPr>
        <xdr:cNvPr id="65" name="Rectangle 65"/>
        <xdr:cNvSpPr>
          <a:spLocks/>
        </xdr:cNvSpPr>
      </xdr:nvSpPr>
      <xdr:spPr>
        <a:xfrm>
          <a:off x="14601825" y="183070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33</xdr:col>
      <xdr:colOff>19050</xdr:colOff>
      <xdr:row>99</xdr:row>
      <xdr:rowOff>0</xdr:rowOff>
    </xdr:from>
    <xdr:to>
      <xdr:col>33</xdr:col>
      <xdr:colOff>314325</xdr:colOff>
      <xdr:row>99</xdr:row>
      <xdr:rowOff>0</xdr:rowOff>
    </xdr:to>
    <xdr:sp>
      <xdr:nvSpPr>
        <xdr:cNvPr id="66" name="Rectangle 66"/>
        <xdr:cNvSpPr>
          <a:spLocks/>
        </xdr:cNvSpPr>
      </xdr:nvSpPr>
      <xdr:spPr>
        <a:xfrm>
          <a:off x="17221200" y="183070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46</xdr:col>
      <xdr:colOff>504825</xdr:colOff>
      <xdr:row>42</xdr:row>
      <xdr:rowOff>0</xdr:rowOff>
    </xdr:from>
    <xdr:to>
      <xdr:col>47</xdr:col>
      <xdr:colOff>133350</xdr:colOff>
      <xdr:row>42</xdr:row>
      <xdr:rowOff>0</xdr:rowOff>
    </xdr:to>
    <xdr:sp>
      <xdr:nvSpPr>
        <xdr:cNvPr id="67" name="Rectangle 67"/>
        <xdr:cNvSpPr>
          <a:spLocks/>
        </xdr:cNvSpPr>
      </xdr:nvSpPr>
      <xdr:spPr>
        <a:xfrm flipH="1">
          <a:off x="24774525" y="8963025"/>
          <a:ext cx="38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99</xdr:row>
      <xdr:rowOff>0</xdr:rowOff>
    </xdr:from>
    <xdr:to>
      <xdr:col>6</xdr:col>
      <xdr:colOff>0</xdr:colOff>
      <xdr:row>99</xdr:row>
      <xdr:rowOff>0</xdr:rowOff>
    </xdr:to>
    <xdr:sp>
      <xdr:nvSpPr>
        <xdr:cNvPr id="68" name="Rectangle 68"/>
        <xdr:cNvSpPr>
          <a:spLocks/>
        </xdr:cNvSpPr>
      </xdr:nvSpPr>
      <xdr:spPr>
        <a:xfrm>
          <a:off x="4895850" y="1830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20</xdr:col>
      <xdr:colOff>19050</xdr:colOff>
      <xdr:row>99</xdr:row>
      <xdr:rowOff>0</xdr:rowOff>
    </xdr:from>
    <xdr:to>
      <xdr:col>20</xdr:col>
      <xdr:colOff>314325</xdr:colOff>
      <xdr:row>99</xdr:row>
      <xdr:rowOff>0</xdr:rowOff>
    </xdr:to>
    <xdr:sp>
      <xdr:nvSpPr>
        <xdr:cNvPr id="69" name="Rectangle 69"/>
        <xdr:cNvSpPr>
          <a:spLocks/>
        </xdr:cNvSpPr>
      </xdr:nvSpPr>
      <xdr:spPr>
        <a:xfrm>
          <a:off x="11049000" y="183070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22</xdr:col>
      <xdr:colOff>0</xdr:colOff>
      <xdr:row>99</xdr:row>
      <xdr:rowOff>0</xdr:rowOff>
    </xdr:from>
    <xdr:to>
      <xdr:col>22</xdr:col>
      <xdr:colOff>0</xdr:colOff>
      <xdr:row>99</xdr:row>
      <xdr:rowOff>0</xdr:rowOff>
    </xdr:to>
    <xdr:sp>
      <xdr:nvSpPr>
        <xdr:cNvPr id="70" name="Rectangle 70"/>
        <xdr:cNvSpPr>
          <a:spLocks/>
        </xdr:cNvSpPr>
      </xdr:nvSpPr>
      <xdr:spPr>
        <a:xfrm>
          <a:off x="11934825" y="1830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28</xdr:col>
      <xdr:colOff>19050</xdr:colOff>
      <xdr:row>99</xdr:row>
      <xdr:rowOff>0</xdr:rowOff>
    </xdr:from>
    <xdr:to>
      <xdr:col>28</xdr:col>
      <xdr:colOff>314325</xdr:colOff>
      <xdr:row>99</xdr:row>
      <xdr:rowOff>0</xdr:rowOff>
    </xdr:to>
    <xdr:sp>
      <xdr:nvSpPr>
        <xdr:cNvPr id="71" name="Rectangle 71"/>
        <xdr:cNvSpPr>
          <a:spLocks/>
        </xdr:cNvSpPr>
      </xdr:nvSpPr>
      <xdr:spPr>
        <a:xfrm>
          <a:off x="14601825" y="183070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33</xdr:col>
      <xdr:colOff>19050</xdr:colOff>
      <xdr:row>99</xdr:row>
      <xdr:rowOff>0</xdr:rowOff>
    </xdr:from>
    <xdr:to>
      <xdr:col>33</xdr:col>
      <xdr:colOff>314325</xdr:colOff>
      <xdr:row>99</xdr:row>
      <xdr:rowOff>0</xdr:rowOff>
    </xdr:to>
    <xdr:sp>
      <xdr:nvSpPr>
        <xdr:cNvPr id="72" name="Rectangle 72"/>
        <xdr:cNvSpPr>
          <a:spLocks/>
        </xdr:cNvSpPr>
      </xdr:nvSpPr>
      <xdr:spPr>
        <a:xfrm>
          <a:off x="17221200" y="183070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6</xdr:col>
      <xdr:colOff>0</xdr:colOff>
      <xdr:row>99</xdr:row>
      <xdr:rowOff>0</xdr:rowOff>
    </xdr:from>
    <xdr:to>
      <xdr:col>6</xdr:col>
      <xdr:colOff>0</xdr:colOff>
      <xdr:row>99</xdr:row>
      <xdr:rowOff>0</xdr:rowOff>
    </xdr:to>
    <xdr:sp>
      <xdr:nvSpPr>
        <xdr:cNvPr id="73" name="Rectangle 73"/>
        <xdr:cNvSpPr>
          <a:spLocks/>
        </xdr:cNvSpPr>
      </xdr:nvSpPr>
      <xdr:spPr>
        <a:xfrm>
          <a:off x="4895850" y="1830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20</xdr:col>
      <xdr:colOff>19050</xdr:colOff>
      <xdr:row>99</xdr:row>
      <xdr:rowOff>0</xdr:rowOff>
    </xdr:from>
    <xdr:to>
      <xdr:col>20</xdr:col>
      <xdr:colOff>314325</xdr:colOff>
      <xdr:row>99</xdr:row>
      <xdr:rowOff>0</xdr:rowOff>
    </xdr:to>
    <xdr:sp>
      <xdr:nvSpPr>
        <xdr:cNvPr id="74" name="Rectangle 74"/>
        <xdr:cNvSpPr>
          <a:spLocks/>
        </xdr:cNvSpPr>
      </xdr:nvSpPr>
      <xdr:spPr>
        <a:xfrm>
          <a:off x="11049000" y="183070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22</xdr:col>
      <xdr:colOff>0</xdr:colOff>
      <xdr:row>99</xdr:row>
      <xdr:rowOff>0</xdr:rowOff>
    </xdr:from>
    <xdr:to>
      <xdr:col>22</xdr:col>
      <xdr:colOff>0</xdr:colOff>
      <xdr:row>99</xdr:row>
      <xdr:rowOff>0</xdr:rowOff>
    </xdr:to>
    <xdr:sp>
      <xdr:nvSpPr>
        <xdr:cNvPr id="75" name="Rectangle 75"/>
        <xdr:cNvSpPr>
          <a:spLocks/>
        </xdr:cNvSpPr>
      </xdr:nvSpPr>
      <xdr:spPr>
        <a:xfrm>
          <a:off x="11934825" y="1830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28</xdr:col>
      <xdr:colOff>19050</xdr:colOff>
      <xdr:row>99</xdr:row>
      <xdr:rowOff>0</xdr:rowOff>
    </xdr:from>
    <xdr:to>
      <xdr:col>28</xdr:col>
      <xdr:colOff>314325</xdr:colOff>
      <xdr:row>99</xdr:row>
      <xdr:rowOff>0</xdr:rowOff>
    </xdr:to>
    <xdr:sp>
      <xdr:nvSpPr>
        <xdr:cNvPr id="76" name="Rectangle 76"/>
        <xdr:cNvSpPr>
          <a:spLocks/>
        </xdr:cNvSpPr>
      </xdr:nvSpPr>
      <xdr:spPr>
        <a:xfrm>
          <a:off x="14601825" y="183070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20</xdr:col>
      <xdr:colOff>38100</xdr:colOff>
      <xdr:row>99</xdr:row>
      <xdr:rowOff>0</xdr:rowOff>
    </xdr:from>
    <xdr:to>
      <xdr:col>20</xdr:col>
      <xdr:colOff>314325</xdr:colOff>
      <xdr:row>99</xdr:row>
      <xdr:rowOff>0</xdr:rowOff>
    </xdr:to>
    <xdr:sp>
      <xdr:nvSpPr>
        <xdr:cNvPr id="77" name="Rectangle 77"/>
        <xdr:cNvSpPr>
          <a:spLocks/>
        </xdr:cNvSpPr>
      </xdr:nvSpPr>
      <xdr:spPr>
        <a:xfrm>
          <a:off x="11068050" y="183070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22</xdr:col>
      <xdr:colOff>0</xdr:colOff>
      <xdr:row>99</xdr:row>
      <xdr:rowOff>0</xdr:rowOff>
    </xdr:from>
    <xdr:to>
      <xdr:col>22</xdr:col>
      <xdr:colOff>0</xdr:colOff>
      <xdr:row>99</xdr:row>
      <xdr:rowOff>0</xdr:rowOff>
    </xdr:to>
    <xdr:sp>
      <xdr:nvSpPr>
        <xdr:cNvPr id="78" name="Rectangle 78"/>
        <xdr:cNvSpPr>
          <a:spLocks/>
        </xdr:cNvSpPr>
      </xdr:nvSpPr>
      <xdr:spPr>
        <a:xfrm>
          <a:off x="11934825" y="1830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28</xdr:col>
      <xdr:colOff>38100</xdr:colOff>
      <xdr:row>99</xdr:row>
      <xdr:rowOff>0</xdr:rowOff>
    </xdr:from>
    <xdr:to>
      <xdr:col>28</xdr:col>
      <xdr:colOff>314325</xdr:colOff>
      <xdr:row>99</xdr:row>
      <xdr:rowOff>0</xdr:rowOff>
    </xdr:to>
    <xdr:sp>
      <xdr:nvSpPr>
        <xdr:cNvPr id="79" name="Rectangle 79"/>
        <xdr:cNvSpPr>
          <a:spLocks/>
        </xdr:cNvSpPr>
      </xdr:nvSpPr>
      <xdr:spPr>
        <a:xfrm>
          <a:off x="14620875" y="183070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33</xdr:col>
      <xdr:colOff>19050</xdr:colOff>
      <xdr:row>99</xdr:row>
      <xdr:rowOff>0</xdr:rowOff>
    </xdr:from>
    <xdr:to>
      <xdr:col>33</xdr:col>
      <xdr:colOff>314325</xdr:colOff>
      <xdr:row>99</xdr:row>
      <xdr:rowOff>0</xdr:rowOff>
    </xdr:to>
    <xdr:sp>
      <xdr:nvSpPr>
        <xdr:cNvPr id="80" name="Rectangle 80"/>
        <xdr:cNvSpPr>
          <a:spLocks/>
        </xdr:cNvSpPr>
      </xdr:nvSpPr>
      <xdr:spPr>
        <a:xfrm>
          <a:off x="17221200" y="183070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35</xdr:col>
      <xdr:colOff>19050</xdr:colOff>
      <xdr:row>99</xdr:row>
      <xdr:rowOff>0</xdr:rowOff>
    </xdr:from>
    <xdr:to>
      <xdr:col>35</xdr:col>
      <xdr:colOff>314325</xdr:colOff>
      <xdr:row>99</xdr:row>
      <xdr:rowOff>0</xdr:rowOff>
    </xdr:to>
    <xdr:sp>
      <xdr:nvSpPr>
        <xdr:cNvPr id="81" name="Rectangle 81"/>
        <xdr:cNvSpPr>
          <a:spLocks/>
        </xdr:cNvSpPr>
      </xdr:nvSpPr>
      <xdr:spPr>
        <a:xfrm>
          <a:off x="18183225" y="183070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48</xdr:col>
      <xdr:colOff>504825</xdr:colOff>
      <xdr:row>42</xdr:row>
      <xdr:rowOff>0</xdr:rowOff>
    </xdr:from>
    <xdr:to>
      <xdr:col>49</xdr:col>
      <xdr:colOff>133350</xdr:colOff>
      <xdr:row>42</xdr:row>
      <xdr:rowOff>0</xdr:rowOff>
    </xdr:to>
    <xdr:sp>
      <xdr:nvSpPr>
        <xdr:cNvPr id="82" name="Rectangle 82"/>
        <xdr:cNvSpPr>
          <a:spLocks/>
        </xdr:cNvSpPr>
      </xdr:nvSpPr>
      <xdr:spPr>
        <a:xfrm flipH="1">
          <a:off x="26279475" y="8963025"/>
          <a:ext cx="38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20</xdr:col>
      <xdr:colOff>38100</xdr:colOff>
      <xdr:row>99</xdr:row>
      <xdr:rowOff>0</xdr:rowOff>
    </xdr:from>
    <xdr:to>
      <xdr:col>20</xdr:col>
      <xdr:colOff>314325</xdr:colOff>
      <xdr:row>99</xdr:row>
      <xdr:rowOff>0</xdr:rowOff>
    </xdr:to>
    <xdr:sp>
      <xdr:nvSpPr>
        <xdr:cNvPr id="83" name="Rectangle 83"/>
        <xdr:cNvSpPr>
          <a:spLocks/>
        </xdr:cNvSpPr>
      </xdr:nvSpPr>
      <xdr:spPr>
        <a:xfrm>
          <a:off x="11068050" y="183070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22</xdr:col>
      <xdr:colOff>0</xdr:colOff>
      <xdr:row>99</xdr:row>
      <xdr:rowOff>0</xdr:rowOff>
    </xdr:from>
    <xdr:to>
      <xdr:col>22</xdr:col>
      <xdr:colOff>0</xdr:colOff>
      <xdr:row>99</xdr:row>
      <xdr:rowOff>0</xdr:rowOff>
    </xdr:to>
    <xdr:sp>
      <xdr:nvSpPr>
        <xdr:cNvPr id="84" name="Rectangle 84"/>
        <xdr:cNvSpPr>
          <a:spLocks/>
        </xdr:cNvSpPr>
      </xdr:nvSpPr>
      <xdr:spPr>
        <a:xfrm>
          <a:off x="11934825" y="1830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28</xdr:col>
      <xdr:colOff>38100</xdr:colOff>
      <xdr:row>99</xdr:row>
      <xdr:rowOff>0</xdr:rowOff>
    </xdr:from>
    <xdr:to>
      <xdr:col>28</xdr:col>
      <xdr:colOff>314325</xdr:colOff>
      <xdr:row>99</xdr:row>
      <xdr:rowOff>0</xdr:rowOff>
    </xdr:to>
    <xdr:sp>
      <xdr:nvSpPr>
        <xdr:cNvPr id="85" name="Rectangle 85"/>
        <xdr:cNvSpPr>
          <a:spLocks/>
        </xdr:cNvSpPr>
      </xdr:nvSpPr>
      <xdr:spPr>
        <a:xfrm>
          <a:off x="14620875" y="183070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33</xdr:col>
      <xdr:colOff>19050</xdr:colOff>
      <xdr:row>99</xdr:row>
      <xdr:rowOff>0</xdr:rowOff>
    </xdr:from>
    <xdr:to>
      <xdr:col>33</xdr:col>
      <xdr:colOff>314325</xdr:colOff>
      <xdr:row>99</xdr:row>
      <xdr:rowOff>0</xdr:rowOff>
    </xdr:to>
    <xdr:sp>
      <xdr:nvSpPr>
        <xdr:cNvPr id="86" name="Rectangle 86"/>
        <xdr:cNvSpPr>
          <a:spLocks/>
        </xdr:cNvSpPr>
      </xdr:nvSpPr>
      <xdr:spPr>
        <a:xfrm>
          <a:off x="17221200" y="183070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35</xdr:col>
      <xdr:colOff>19050</xdr:colOff>
      <xdr:row>99</xdr:row>
      <xdr:rowOff>0</xdr:rowOff>
    </xdr:from>
    <xdr:to>
      <xdr:col>35</xdr:col>
      <xdr:colOff>314325</xdr:colOff>
      <xdr:row>99</xdr:row>
      <xdr:rowOff>0</xdr:rowOff>
    </xdr:to>
    <xdr:sp>
      <xdr:nvSpPr>
        <xdr:cNvPr id="87" name="Rectangle 87"/>
        <xdr:cNvSpPr>
          <a:spLocks/>
        </xdr:cNvSpPr>
      </xdr:nvSpPr>
      <xdr:spPr>
        <a:xfrm>
          <a:off x="18183225" y="183070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20</xdr:col>
      <xdr:colOff>38100</xdr:colOff>
      <xdr:row>99</xdr:row>
      <xdr:rowOff>0</xdr:rowOff>
    </xdr:from>
    <xdr:to>
      <xdr:col>20</xdr:col>
      <xdr:colOff>314325</xdr:colOff>
      <xdr:row>99</xdr:row>
      <xdr:rowOff>0</xdr:rowOff>
    </xdr:to>
    <xdr:sp>
      <xdr:nvSpPr>
        <xdr:cNvPr id="88" name="Rectangle 88"/>
        <xdr:cNvSpPr>
          <a:spLocks/>
        </xdr:cNvSpPr>
      </xdr:nvSpPr>
      <xdr:spPr>
        <a:xfrm>
          <a:off x="11068050" y="183070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22</xdr:col>
      <xdr:colOff>0</xdr:colOff>
      <xdr:row>99</xdr:row>
      <xdr:rowOff>0</xdr:rowOff>
    </xdr:from>
    <xdr:to>
      <xdr:col>22</xdr:col>
      <xdr:colOff>0</xdr:colOff>
      <xdr:row>99</xdr:row>
      <xdr:rowOff>0</xdr:rowOff>
    </xdr:to>
    <xdr:sp>
      <xdr:nvSpPr>
        <xdr:cNvPr id="89" name="Rectangle 89"/>
        <xdr:cNvSpPr>
          <a:spLocks/>
        </xdr:cNvSpPr>
      </xdr:nvSpPr>
      <xdr:spPr>
        <a:xfrm>
          <a:off x="11934825" y="1830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28</xdr:col>
      <xdr:colOff>38100</xdr:colOff>
      <xdr:row>99</xdr:row>
      <xdr:rowOff>0</xdr:rowOff>
    </xdr:from>
    <xdr:to>
      <xdr:col>28</xdr:col>
      <xdr:colOff>314325</xdr:colOff>
      <xdr:row>99</xdr:row>
      <xdr:rowOff>0</xdr:rowOff>
    </xdr:to>
    <xdr:sp>
      <xdr:nvSpPr>
        <xdr:cNvPr id="90" name="Rectangle 90"/>
        <xdr:cNvSpPr>
          <a:spLocks/>
        </xdr:cNvSpPr>
      </xdr:nvSpPr>
      <xdr:spPr>
        <a:xfrm>
          <a:off x="14620875" y="183070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33</xdr:col>
      <xdr:colOff>19050</xdr:colOff>
      <xdr:row>99</xdr:row>
      <xdr:rowOff>0</xdr:rowOff>
    </xdr:from>
    <xdr:to>
      <xdr:col>33</xdr:col>
      <xdr:colOff>314325</xdr:colOff>
      <xdr:row>99</xdr:row>
      <xdr:rowOff>0</xdr:rowOff>
    </xdr:to>
    <xdr:sp>
      <xdr:nvSpPr>
        <xdr:cNvPr id="91" name="Rectangle 91"/>
        <xdr:cNvSpPr>
          <a:spLocks/>
        </xdr:cNvSpPr>
      </xdr:nvSpPr>
      <xdr:spPr>
        <a:xfrm>
          <a:off x="17221200" y="183070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35</xdr:col>
      <xdr:colOff>19050</xdr:colOff>
      <xdr:row>99</xdr:row>
      <xdr:rowOff>0</xdr:rowOff>
    </xdr:from>
    <xdr:to>
      <xdr:col>35</xdr:col>
      <xdr:colOff>314325</xdr:colOff>
      <xdr:row>99</xdr:row>
      <xdr:rowOff>0</xdr:rowOff>
    </xdr:to>
    <xdr:sp>
      <xdr:nvSpPr>
        <xdr:cNvPr id="92" name="Rectangle 92"/>
        <xdr:cNvSpPr>
          <a:spLocks/>
        </xdr:cNvSpPr>
      </xdr:nvSpPr>
      <xdr:spPr>
        <a:xfrm>
          <a:off x="18183225" y="183070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48</xdr:col>
      <xdr:colOff>504825</xdr:colOff>
      <xdr:row>42</xdr:row>
      <xdr:rowOff>0</xdr:rowOff>
    </xdr:from>
    <xdr:to>
      <xdr:col>49</xdr:col>
      <xdr:colOff>133350</xdr:colOff>
      <xdr:row>44</xdr:row>
      <xdr:rowOff>28575</xdr:rowOff>
    </xdr:to>
    <xdr:sp>
      <xdr:nvSpPr>
        <xdr:cNvPr id="93" name="Rectangle 93"/>
        <xdr:cNvSpPr>
          <a:spLocks/>
        </xdr:cNvSpPr>
      </xdr:nvSpPr>
      <xdr:spPr>
        <a:xfrm flipH="1">
          <a:off x="26279475" y="8963025"/>
          <a:ext cx="381000" cy="76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33</xdr:col>
      <xdr:colOff>152400</xdr:colOff>
      <xdr:row>42</xdr:row>
      <xdr:rowOff>0</xdr:rowOff>
    </xdr:from>
    <xdr:to>
      <xdr:col>33</xdr:col>
      <xdr:colOff>457200</xdr:colOff>
      <xdr:row>42</xdr:row>
      <xdr:rowOff>0</xdr:rowOff>
    </xdr:to>
    <xdr:sp>
      <xdr:nvSpPr>
        <xdr:cNvPr id="94" name="Rectangle 94"/>
        <xdr:cNvSpPr>
          <a:spLocks/>
        </xdr:cNvSpPr>
      </xdr:nvSpPr>
      <xdr:spPr>
        <a:xfrm>
          <a:off x="17354550" y="89630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/>
          </a:r>
        </a:p>
      </xdr:txBody>
    </xdr:sp>
    <xdr:clientData/>
  </xdr:twoCellAnchor>
  <xdr:twoCellAnchor>
    <xdr:from>
      <xdr:col>20</xdr:col>
      <xdr:colOff>38100</xdr:colOff>
      <xdr:row>99</xdr:row>
      <xdr:rowOff>0</xdr:rowOff>
    </xdr:from>
    <xdr:to>
      <xdr:col>20</xdr:col>
      <xdr:colOff>314325</xdr:colOff>
      <xdr:row>99</xdr:row>
      <xdr:rowOff>0</xdr:rowOff>
    </xdr:to>
    <xdr:sp>
      <xdr:nvSpPr>
        <xdr:cNvPr id="95" name="Rectangle 95"/>
        <xdr:cNvSpPr>
          <a:spLocks/>
        </xdr:cNvSpPr>
      </xdr:nvSpPr>
      <xdr:spPr>
        <a:xfrm>
          <a:off x="11068050" y="183070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22</xdr:col>
      <xdr:colOff>0</xdr:colOff>
      <xdr:row>99</xdr:row>
      <xdr:rowOff>0</xdr:rowOff>
    </xdr:from>
    <xdr:to>
      <xdr:col>22</xdr:col>
      <xdr:colOff>0</xdr:colOff>
      <xdr:row>99</xdr:row>
      <xdr:rowOff>0</xdr:rowOff>
    </xdr:to>
    <xdr:sp>
      <xdr:nvSpPr>
        <xdr:cNvPr id="96" name="Rectangle 96"/>
        <xdr:cNvSpPr>
          <a:spLocks/>
        </xdr:cNvSpPr>
      </xdr:nvSpPr>
      <xdr:spPr>
        <a:xfrm>
          <a:off x="11934825" y="1830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28</xdr:col>
      <xdr:colOff>38100</xdr:colOff>
      <xdr:row>99</xdr:row>
      <xdr:rowOff>0</xdr:rowOff>
    </xdr:from>
    <xdr:to>
      <xdr:col>28</xdr:col>
      <xdr:colOff>314325</xdr:colOff>
      <xdr:row>99</xdr:row>
      <xdr:rowOff>0</xdr:rowOff>
    </xdr:to>
    <xdr:sp>
      <xdr:nvSpPr>
        <xdr:cNvPr id="97" name="Rectangle 97"/>
        <xdr:cNvSpPr>
          <a:spLocks/>
        </xdr:cNvSpPr>
      </xdr:nvSpPr>
      <xdr:spPr>
        <a:xfrm>
          <a:off x="14620875" y="183070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33</xdr:col>
      <xdr:colOff>19050</xdr:colOff>
      <xdr:row>99</xdr:row>
      <xdr:rowOff>0</xdr:rowOff>
    </xdr:from>
    <xdr:to>
      <xdr:col>33</xdr:col>
      <xdr:colOff>314325</xdr:colOff>
      <xdr:row>99</xdr:row>
      <xdr:rowOff>0</xdr:rowOff>
    </xdr:to>
    <xdr:sp>
      <xdr:nvSpPr>
        <xdr:cNvPr id="98" name="Rectangle 98"/>
        <xdr:cNvSpPr>
          <a:spLocks/>
        </xdr:cNvSpPr>
      </xdr:nvSpPr>
      <xdr:spPr>
        <a:xfrm>
          <a:off x="17221200" y="183070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35</xdr:col>
      <xdr:colOff>19050</xdr:colOff>
      <xdr:row>99</xdr:row>
      <xdr:rowOff>0</xdr:rowOff>
    </xdr:from>
    <xdr:to>
      <xdr:col>35</xdr:col>
      <xdr:colOff>314325</xdr:colOff>
      <xdr:row>99</xdr:row>
      <xdr:rowOff>0</xdr:rowOff>
    </xdr:to>
    <xdr:sp>
      <xdr:nvSpPr>
        <xdr:cNvPr id="99" name="Rectangle 99"/>
        <xdr:cNvSpPr>
          <a:spLocks/>
        </xdr:cNvSpPr>
      </xdr:nvSpPr>
      <xdr:spPr>
        <a:xfrm>
          <a:off x="18183225" y="183070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39</xdr:col>
      <xdr:colOff>152400</xdr:colOff>
      <xdr:row>42</xdr:row>
      <xdr:rowOff>0</xdr:rowOff>
    </xdr:from>
    <xdr:to>
      <xdr:col>39</xdr:col>
      <xdr:colOff>447675</xdr:colOff>
      <xdr:row>42</xdr:row>
      <xdr:rowOff>0</xdr:rowOff>
    </xdr:to>
    <xdr:sp>
      <xdr:nvSpPr>
        <xdr:cNvPr id="100" name="Rectangle 100"/>
        <xdr:cNvSpPr>
          <a:spLocks/>
        </xdr:cNvSpPr>
      </xdr:nvSpPr>
      <xdr:spPr>
        <a:xfrm>
          <a:off x="20431125" y="89630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37</xdr:col>
      <xdr:colOff>495300</xdr:colOff>
      <xdr:row>42</xdr:row>
      <xdr:rowOff>0</xdr:rowOff>
    </xdr:from>
    <xdr:to>
      <xdr:col>37</xdr:col>
      <xdr:colOff>781050</xdr:colOff>
      <xdr:row>42</xdr:row>
      <xdr:rowOff>0</xdr:rowOff>
    </xdr:to>
    <xdr:sp>
      <xdr:nvSpPr>
        <xdr:cNvPr id="101" name="Rectangle 101"/>
        <xdr:cNvSpPr>
          <a:spLocks/>
        </xdr:cNvSpPr>
      </xdr:nvSpPr>
      <xdr:spPr>
        <a:xfrm>
          <a:off x="19859625" y="8963025"/>
          <a:ext cx="285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99</xdr:row>
      <xdr:rowOff>0</xdr:rowOff>
    </xdr:from>
    <xdr:to>
      <xdr:col>6</xdr:col>
      <xdr:colOff>0</xdr:colOff>
      <xdr:row>99</xdr:row>
      <xdr:rowOff>0</xdr:rowOff>
    </xdr:to>
    <xdr:sp>
      <xdr:nvSpPr>
        <xdr:cNvPr id="102" name="Rectangle 102"/>
        <xdr:cNvSpPr>
          <a:spLocks/>
        </xdr:cNvSpPr>
      </xdr:nvSpPr>
      <xdr:spPr>
        <a:xfrm>
          <a:off x="4895850" y="1830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20</xdr:col>
      <xdr:colOff>85725</xdr:colOff>
      <xdr:row>99</xdr:row>
      <xdr:rowOff>0</xdr:rowOff>
    </xdr:from>
    <xdr:to>
      <xdr:col>20</xdr:col>
      <xdr:colOff>409575</xdr:colOff>
      <xdr:row>99</xdr:row>
      <xdr:rowOff>0</xdr:rowOff>
    </xdr:to>
    <xdr:sp>
      <xdr:nvSpPr>
        <xdr:cNvPr id="103" name="Rectangle 103"/>
        <xdr:cNvSpPr>
          <a:spLocks/>
        </xdr:cNvSpPr>
      </xdr:nvSpPr>
      <xdr:spPr>
        <a:xfrm>
          <a:off x="11115675" y="18307050"/>
          <a:ext cx="323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6</xdr:col>
      <xdr:colOff>0</xdr:colOff>
      <xdr:row>99</xdr:row>
      <xdr:rowOff>0</xdr:rowOff>
    </xdr:from>
    <xdr:to>
      <xdr:col>6</xdr:col>
      <xdr:colOff>0</xdr:colOff>
      <xdr:row>99</xdr:row>
      <xdr:rowOff>0</xdr:rowOff>
    </xdr:to>
    <xdr:sp>
      <xdr:nvSpPr>
        <xdr:cNvPr id="104" name="Rectangle 104"/>
        <xdr:cNvSpPr>
          <a:spLocks/>
        </xdr:cNvSpPr>
      </xdr:nvSpPr>
      <xdr:spPr>
        <a:xfrm>
          <a:off x="4895850" y="1830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</a:p>
      </xdr:txBody>
    </xdr:sp>
    <xdr:clientData/>
  </xdr:twoCellAnchor>
  <xdr:twoCellAnchor>
    <xdr:from>
      <xdr:col>0</xdr:col>
      <xdr:colOff>190500</xdr:colOff>
      <xdr:row>44</xdr:row>
      <xdr:rowOff>85725</xdr:rowOff>
    </xdr:from>
    <xdr:to>
      <xdr:col>0</xdr:col>
      <xdr:colOff>295275</xdr:colOff>
      <xdr:row>44</xdr:row>
      <xdr:rowOff>200025</xdr:rowOff>
    </xdr:to>
    <xdr:sp>
      <xdr:nvSpPr>
        <xdr:cNvPr id="105" name="AutoShape 106"/>
        <xdr:cNvSpPr>
          <a:spLocks/>
        </xdr:cNvSpPr>
      </xdr:nvSpPr>
      <xdr:spPr>
        <a:xfrm flipV="1">
          <a:off x="190500" y="9039225"/>
          <a:ext cx="104775" cy="0"/>
        </a:xfrm>
        <a:prstGeom prst="star5">
          <a:avLst/>
        </a:prstGeom>
        <a:solidFill>
          <a:srgbClr val="0000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99</xdr:row>
      <xdr:rowOff>0</xdr:rowOff>
    </xdr:from>
    <xdr:to>
      <xdr:col>6</xdr:col>
      <xdr:colOff>0</xdr:colOff>
      <xdr:row>99</xdr:row>
      <xdr:rowOff>0</xdr:rowOff>
    </xdr:to>
    <xdr:sp>
      <xdr:nvSpPr>
        <xdr:cNvPr id="106" name="Rectangle 107"/>
        <xdr:cNvSpPr>
          <a:spLocks/>
        </xdr:cNvSpPr>
      </xdr:nvSpPr>
      <xdr:spPr>
        <a:xfrm>
          <a:off x="4895850" y="1830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6</xdr:col>
      <xdr:colOff>0</xdr:colOff>
      <xdr:row>99</xdr:row>
      <xdr:rowOff>0</xdr:rowOff>
    </xdr:from>
    <xdr:to>
      <xdr:col>6</xdr:col>
      <xdr:colOff>0</xdr:colOff>
      <xdr:row>99</xdr:row>
      <xdr:rowOff>0</xdr:rowOff>
    </xdr:to>
    <xdr:sp>
      <xdr:nvSpPr>
        <xdr:cNvPr id="107" name="Rectangle 108"/>
        <xdr:cNvSpPr>
          <a:spLocks/>
        </xdr:cNvSpPr>
      </xdr:nvSpPr>
      <xdr:spPr>
        <a:xfrm>
          <a:off x="4895850" y="1830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</a:p>
      </xdr:txBody>
    </xdr:sp>
    <xdr:clientData/>
  </xdr:twoCellAnchor>
  <xdr:twoCellAnchor>
    <xdr:from>
      <xdr:col>6</xdr:col>
      <xdr:colOff>0</xdr:colOff>
      <xdr:row>99</xdr:row>
      <xdr:rowOff>0</xdr:rowOff>
    </xdr:from>
    <xdr:to>
      <xdr:col>6</xdr:col>
      <xdr:colOff>0</xdr:colOff>
      <xdr:row>99</xdr:row>
      <xdr:rowOff>0</xdr:rowOff>
    </xdr:to>
    <xdr:sp>
      <xdr:nvSpPr>
        <xdr:cNvPr id="108" name="Rectangle 109"/>
        <xdr:cNvSpPr>
          <a:spLocks/>
        </xdr:cNvSpPr>
      </xdr:nvSpPr>
      <xdr:spPr>
        <a:xfrm>
          <a:off x="4895850" y="1830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6</xdr:col>
      <xdr:colOff>0</xdr:colOff>
      <xdr:row>99</xdr:row>
      <xdr:rowOff>0</xdr:rowOff>
    </xdr:from>
    <xdr:to>
      <xdr:col>6</xdr:col>
      <xdr:colOff>0</xdr:colOff>
      <xdr:row>99</xdr:row>
      <xdr:rowOff>0</xdr:rowOff>
    </xdr:to>
    <xdr:sp>
      <xdr:nvSpPr>
        <xdr:cNvPr id="109" name="Rectangle 110"/>
        <xdr:cNvSpPr>
          <a:spLocks/>
        </xdr:cNvSpPr>
      </xdr:nvSpPr>
      <xdr:spPr>
        <a:xfrm>
          <a:off x="4895850" y="1830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</a:p>
      </xdr:txBody>
    </xdr:sp>
    <xdr:clientData/>
  </xdr:twoCellAnchor>
  <xdr:twoCellAnchor>
    <xdr:from>
      <xdr:col>0</xdr:col>
      <xdr:colOff>190500</xdr:colOff>
      <xdr:row>99</xdr:row>
      <xdr:rowOff>0</xdr:rowOff>
    </xdr:from>
    <xdr:to>
      <xdr:col>0</xdr:col>
      <xdr:colOff>295275</xdr:colOff>
      <xdr:row>99</xdr:row>
      <xdr:rowOff>0</xdr:rowOff>
    </xdr:to>
    <xdr:sp>
      <xdr:nvSpPr>
        <xdr:cNvPr id="110" name="AutoShape 111"/>
        <xdr:cNvSpPr>
          <a:spLocks/>
        </xdr:cNvSpPr>
      </xdr:nvSpPr>
      <xdr:spPr>
        <a:xfrm flipV="1">
          <a:off x="190500" y="18307050"/>
          <a:ext cx="104775" cy="0"/>
        </a:xfrm>
        <a:prstGeom prst="star5">
          <a:avLst/>
        </a:prstGeom>
        <a:solidFill>
          <a:srgbClr val="0000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99</xdr:row>
      <xdr:rowOff>0</xdr:rowOff>
    </xdr:from>
    <xdr:to>
      <xdr:col>6</xdr:col>
      <xdr:colOff>0</xdr:colOff>
      <xdr:row>99</xdr:row>
      <xdr:rowOff>0</xdr:rowOff>
    </xdr:to>
    <xdr:sp>
      <xdr:nvSpPr>
        <xdr:cNvPr id="111" name="Rectangle 112"/>
        <xdr:cNvSpPr>
          <a:spLocks/>
        </xdr:cNvSpPr>
      </xdr:nvSpPr>
      <xdr:spPr>
        <a:xfrm>
          <a:off x="4895850" y="1830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20</xdr:col>
      <xdr:colOff>85725</xdr:colOff>
      <xdr:row>99</xdr:row>
      <xdr:rowOff>0</xdr:rowOff>
    </xdr:from>
    <xdr:to>
      <xdr:col>20</xdr:col>
      <xdr:colOff>409575</xdr:colOff>
      <xdr:row>99</xdr:row>
      <xdr:rowOff>0</xdr:rowOff>
    </xdr:to>
    <xdr:sp>
      <xdr:nvSpPr>
        <xdr:cNvPr id="112" name="Rectangle 113"/>
        <xdr:cNvSpPr>
          <a:spLocks/>
        </xdr:cNvSpPr>
      </xdr:nvSpPr>
      <xdr:spPr>
        <a:xfrm>
          <a:off x="11115675" y="18307050"/>
          <a:ext cx="323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6</xdr:col>
      <xdr:colOff>0</xdr:colOff>
      <xdr:row>99</xdr:row>
      <xdr:rowOff>0</xdr:rowOff>
    </xdr:from>
    <xdr:to>
      <xdr:col>6</xdr:col>
      <xdr:colOff>0</xdr:colOff>
      <xdr:row>99</xdr:row>
      <xdr:rowOff>0</xdr:rowOff>
    </xdr:to>
    <xdr:sp>
      <xdr:nvSpPr>
        <xdr:cNvPr id="113" name="Rectangle 114"/>
        <xdr:cNvSpPr>
          <a:spLocks/>
        </xdr:cNvSpPr>
      </xdr:nvSpPr>
      <xdr:spPr>
        <a:xfrm>
          <a:off x="4895850" y="1830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</a:p>
      </xdr:txBody>
    </xdr:sp>
    <xdr:clientData/>
  </xdr:twoCellAnchor>
  <xdr:twoCellAnchor>
    <xdr:from>
      <xdr:col>20</xdr:col>
      <xdr:colOff>38100</xdr:colOff>
      <xdr:row>99</xdr:row>
      <xdr:rowOff>0</xdr:rowOff>
    </xdr:from>
    <xdr:to>
      <xdr:col>20</xdr:col>
      <xdr:colOff>314325</xdr:colOff>
      <xdr:row>99</xdr:row>
      <xdr:rowOff>0</xdr:rowOff>
    </xdr:to>
    <xdr:sp>
      <xdr:nvSpPr>
        <xdr:cNvPr id="114" name="Rectangle 115"/>
        <xdr:cNvSpPr>
          <a:spLocks/>
        </xdr:cNvSpPr>
      </xdr:nvSpPr>
      <xdr:spPr>
        <a:xfrm>
          <a:off x="11068050" y="183070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22</xdr:col>
      <xdr:colOff>0</xdr:colOff>
      <xdr:row>99</xdr:row>
      <xdr:rowOff>0</xdr:rowOff>
    </xdr:from>
    <xdr:to>
      <xdr:col>22</xdr:col>
      <xdr:colOff>0</xdr:colOff>
      <xdr:row>99</xdr:row>
      <xdr:rowOff>0</xdr:rowOff>
    </xdr:to>
    <xdr:sp>
      <xdr:nvSpPr>
        <xdr:cNvPr id="115" name="Rectangle 116"/>
        <xdr:cNvSpPr>
          <a:spLocks/>
        </xdr:cNvSpPr>
      </xdr:nvSpPr>
      <xdr:spPr>
        <a:xfrm>
          <a:off x="11934825" y="1830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28</xdr:col>
      <xdr:colOff>38100</xdr:colOff>
      <xdr:row>99</xdr:row>
      <xdr:rowOff>0</xdr:rowOff>
    </xdr:from>
    <xdr:to>
      <xdr:col>28</xdr:col>
      <xdr:colOff>314325</xdr:colOff>
      <xdr:row>99</xdr:row>
      <xdr:rowOff>0</xdr:rowOff>
    </xdr:to>
    <xdr:sp>
      <xdr:nvSpPr>
        <xdr:cNvPr id="116" name="Rectangle 117"/>
        <xdr:cNvSpPr>
          <a:spLocks/>
        </xdr:cNvSpPr>
      </xdr:nvSpPr>
      <xdr:spPr>
        <a:xfrm>
          <a:off x="14620875" y="183070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33</xdr:col>
      <xdr:colOff>19050</xdr:colOff>
      <xdr:row>99</xdr:row>
      <xdr:rowOff>0</xdr:rowOff>
    </xdr:from>
    <xdr:to>
      <xdr:col>33</xdr:col>
      <xdr:colOff>314325</xdr:colOff>
      <xdr:row>99</xdr:row>
      <xdr:rowOff>0</xdr:rowOff>
    </xdr:to>
    <xdr:sp>
      <xdr:nvSpPr>
        <xdr:cNvPr id="117" name="Rectangle 118"/>
        <xdr:cNvSpPr>
          <a:spLocks/>
        </xdr:cNvSpPr>
      </xdr:nvSpPr>
      <xdr:spPr>
        <a:xfrm>
          <a:off x="17221200" y="183070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35</xdr:col>
      <xdr:colOff>19050</xdr:colOff>
      <xdr:row>99</xdr:row>
      <xdr:rowOff>0</xdr:rowOff>
    </xdr:from>
    <xdr:to>
      <xdr:col>35</xdr:col>
      <xdr:colOff>314325</xdr:colOff>
      <xdr:row>99</xdr:row>
      <xdr:rowOff>0</xdr:rowOff>
    </xdr:to>
    <xdr:sp>
      <xdr:nvSpPr>
        <xdr:cNvPr id="118" name="Rectangle 119"/>
        <xdr:cNvSpPr>
          <a:spLocks/>
        </xdr:cNvSpPr>
      </xdr:nvSpPr>
      <xdr:spPr>
        <a:xfrm>
          <a:off x="18183225" y="183070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20</xdr:col>
      <xdr:colOff>38100</xdr:colOff>
      <xdr:row>99</xdr:row>
      <xdr:rowOff>0</xdr:rowOff>
    </xdr:from>
    <xdr:to>
      <xdr:col>20</xdr:col>
      <xdr:colOff>314325</xdr:colOff>
      <xdr:row>99</xdr:row>
      <xdr:rowOff>0</xdr:rowOff>
    </xdr:to>
    <xdr:sp>
      <xdr:nvSpPr>
        <xdr:cNvPr id="119" name="Rectangle 120"/>
        <xdr:cNvSpPr>
          <a:spLocks/>
        </xdr:cNvSpPr>
      </xdr:nvSpPr>
      <xdr:spPr>
        <a:xfrm>
          <a:off x="11068050" y="183070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22</xdr:col>
      <xdr:colOff>0</xdr:colOff>
      <xdr:row>99</xdr:row>
      <xdr:rowOff>0</xdr:rowOff>
    </xdr:from>
    <xdr:to>
      <xdr:col>22</xdr:col>
      <xdr:colOff>0</xdr:colOff>
      <xdr:row>99</xdr:row>
      <xdr:rowOff>0</xdr:rowOff>
    </xdr:to>
    <xdr:sp>
      <xdr:nvSpPr>
        <xdr:cNvPr id="120" name="Rectangle 121"/>
        <xdr:cNvSpPr>
          <a:spLocks/>
        </xdr:cNvSpPr>
      </xdr:nvSpPr>
      <xdr:spPr>
        <a:xfrm>
          <a:off x="11934825" y="1830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28</xdr:col>
      <xdr:colOff>38100</xdr:colOff>
      <xdr:row>99</xdr:row>
      <xdr:rowOff>0</xdr:rowOff>
    </xdr:from>
    <xdr:to>
      <xdr:col>28</xdr:col>
      <xdr:colOff>314325</xdr:colOff>
      <xdr:row>99</xdr:row>
      <xdr:rowOff>0</xdr:rowOff>
    </xdr:to>
    <xdr:sp>
      <xdr:nvSpPr>
        <xdr:cNvPr id="121" name="Rectangle 122"/>
        <xdr:cNvSpPr>
          <a:spLocks/>
        </xdr:cNvSpPr>
      </xdr:nvSpPr>
      <xdr:spPr>
        <a:xfrm>
          <a:off x="14620875" y="183070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33</xdr:col>
      <xdr:colOff>19050</xdr:colOff>
      <xdr:row>99</xdr:row>
      <xdr:rowOff>0</xdr:rowOff>
    </xdr:from>
    <xdr:to>
      <xdr:col>33</xdr:col>
      <xdr:colOff>314325</xdr:colOff>
      <xdr:row>99</xdr:row>
      <xdr:rowOff>0</xdr:rowOff>
    </xdr:to>
    <xdr:sp>
      <xdr:nvSpPr>
        <xdr:cNvPr id="122" name="Rectangle 123"/>
        <xdr:cNvSpPr>
          <a:spLocks/>
        </xdr:cNvSpPr>
      </xdr:nvSpPr>
      <xdr:spPr>
        <a:xfrm>
          <a:off x="17221200" y="183070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35</xdr:col>
      <xdr:colOff>19050</xdr:colOff>
      <xdr:row>99</xdr:row>
      <xdr:rowOff>0</xdr:rowOff>
    </xdr:from>
    <xdr:to>
      <xdr:col>35</xdr:col>
      <xdr:colOff>314325</xdr:colOff>
      <xdr:row>99</xdr:row>
      <xdr:rowOff>0</xdr:rowOff>
    </xdr:to>
    <xdr:sp>
      <xdr:nvSpPr>
        <xdr:cNvPr id="123" name="Rectangle 124"/>
        <xdr:cNvSpPr>
          <a:spLocks/>
        </xdr:cNvSpPr>
      </xdr:nvSpPr>
      <xdr:spPr>
        <a:xfrm>
          <a:off x="18183225" y="183070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6</xdr:col>
      <xdr:colOff>0</xdr:colOff>
      <xdr:row>99</xdr:row>
      <xdr:rowOff>0</xdr:rowOff>
    </xdr:from>
    <xdr:to>
      <xdr:col>6</xdr:col>
      <xdr:colOff>0</xdr:colOff>
      <xdr:row>99</xdr:row>
      <xdr:rowOff>0</xdr:rowOff>
    </xdr:to>
    <xdr:sp>
      <xdr:nvSpPr>
        <xdr:cNvPr id="124" name="Rectangle 125"/>
        <xdr:cNvSpPr>
          <a:spLocks/>
        </xdr:cNvSpPr>
      </xdr:nvSpPr>
      <xdr:spPr>
        <a:xfrm>
          <a:off x="4895850" y="1830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20</xdr:col>
      <xdr:colOff>19050</xdr:colOff>
      <xdr:row>99</xdr:row>
      <xdr:rowOff>0</xdr:rowOff>
    </xdr:from>
    <xdr:to>
      <xdr:col>20</xdr:col>
      <xdr:colOff>314325</xdr:colOff>
      <xdr:row>99</xdr:row>
      <xdr:rowOff>0</xdr:rowOff>
    </xdr:to>
    <xdr:sp>
      <xdr:nvSpPr>
        <xdr:cNvPr id="125" name="Rectangle 126"/>
        <xdr:cNvSpPr>
          <a:spLocks/>
        </xdr:cNvSpPr>
      </xdr:nvSpPr>
      <xdr:spPr>
        <a:xfrm>
          <a:off x="11049000" y="183070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22</xdr:col>
      <xdr:colOff>0</xdr:colOff>
      <xdr:row>99</xdr:row>
      <xdr:rowOff>0</xdr:rowOff>
    </xdr:from>
    <xdr:to>
      <xdr:col>22</xdr:col>
      <xdr:colOff>0</xdr:colOff>
      <xdr:row>99</xdr:row>
      <xdr:rowOff>0</xdr:rowOff>
    </xdr:to>
    <xdr:sp>
      <xdr:nvSpPr>
        <xdr:cNvPr id="126" name="Rectangle 127"/>
        <xdr:cNvSpPr>
          <a:spLocks/>
        </xdr:cNvSpPr>
      </xdr:nvSpPr>
      <xdr:spPr>
        <a:xfrm>
          <a:off x="11934825" y="1830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28</xdr:col>
      <xdr:colOff>19050</xdr:colOff>
      <xdr:row>99</xdr:row>
      <xdr:rowOff>0</xdr:rowOff>
    </xdr:from>
    <xdr:to>
      <xdr:col>28</xdr:col>
      <xdr:colOff>314325</xdr:colOff>
      <xdr:row>99</xdr:row>
      <xdr:rowOff>0</xdr:rowOff>
    </xdr:to>
    <xdr:sp>
      <xdr:nvSpPr>
        <xdr:cNvPr id="127" name="Rectangle 128"/>
        <xdr:cNvSpPr>
          <a:spLocks/>
        </xdr:cNvSpPr>
      </xdr:nvSpPr>
      <xdr:spPr>
        <a:xfrm>
          <a:off x="14601825" y="183070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33</xdr:col>
      <xdr:colOff>19050</xdr:colOff>
      <xdr:row>99</xdr:row>
      <xdr:rowOff>0</xdr:rowOff>
    </xdr:from>
    <xdr:to>
      <xdr:col>33</xdr:col>
      <xdr:colOff>314325</xdr:colOff>
      <xdr:row>99</xdr:row>
      <xdr:rowOff>0</xdr:rowOff>
    </xdr:to>
    <xdr:sp>
      <xdr:nvSpPr>
        <xdr:cNvPr id="128" name="Rectangle 129"/>
        <xdr:cNvSpPr>
          <a:spLocks/>
        </xdr:cNvSpPr>
      </xdr:nvSpPr>
      <xdr:spPr>
        <a:xfrm>
          <a:off x="17221200" y="183070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6</xdr:col>
      <xdr:colOff>0</xdr:colOff>
      <xdr:row>99</xdr:row>
      <xdr:rowOff>0</xdr:rowOff>
    </xdr:from>
    <xdr:to>
      <xdr:col>6</xdr:col>
      <xdr:colOff>0</xdr:colOff>
      <xdr:row>99</xdr:row>
      <xdr:rowOff>0</xdr:rowOff>
    </xdr:to>
    <xdr:sp>
      <xdr:nvSpPr>
        <xdr:cNvPr id="129" name="Rectangle 130"/>
        <xdr:cNvSpPr>
          <a:spLocks/>
        </xdr:cNvSpPr>
      </xdr:nvSpPr>
      <xdr:spPr>
        <a:xfrm>
          <a:off x="4895850" y="1830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20</xdr:col>
      <xdr:colOff>19050</xdr:colOff>
      <xdr:row>99</xdr:row>
      <xdr:rowOff>0</xdr:rowOff>
    </xdr:from>
    <xdr:to>
      <xdr:col>20</xdr:col>
      <xdr:colOff>314325</xdr:colOff>
      <xdr:row>99</xdr:row>
      <xdr:rowOff>0</xdr:rowOff>
    </xdr:to>
    <xdr:sp>
      <xdr:nvSpPr>
        <xdr:cNvPr id="130" name="Rectangle 131"/>
        <xdr:cNvSpPr>
          <a:spLocks/>
        </xdr:cNvSpPr>
      </xdr:nvSpPr>
      <xdr:spPr>
        <a:xfrm>
          <a:off x="11049000" y="183070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22</xdr:col>
      <xdr:colOff>0</xdr:colOff>
      <xdr:row>99</xdr:row>
      <xdr:rowOff>0</xdr:rowOff>
    </xdr:from>
    <xdr:to>
      <xdr:col>22</xdr:col>
      <xdr:colOff>0</xdr:colOff>
      <xdr:row>99</xdr:row>
      <xdr:rowOff>0</xdr:rowOff>
    </xdr:to>
    <xdr:sp>
      <xdr:nvSpPr>
        <xdr:cNvPr id="131" name="Rectangle 132"/>
        <xdr:cNvSpPr>
          <a:spLocks/>
        </xdr:cNvSpPr>
      </xdr:nvSpPr>
      <xdr:spPr>
        <a:xfrm>
          <a:off x="11934825" y="1830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28</xdr:col>
      <xdr:colOff>19050</xdr:colOff>
      <xdr:row>99</xdr:row>
      <xdr:rowOff>0</xdr:rowOff>
    </xdr:from>
    <xdr:to>
      <xdr:col>28</xdr:col>
      <xdr:colOff>314325</xdr:colOff>
      <xdr:row>99</xdr:row>
      <xdr:rowOff>0</xdr:rowOff>
    </xdr:to>
    <xdr:sp>
      <xdr:nvSpPr>
        <xdr:cNvPr id="132" name="Rectangle 133"/>
        <xdr:cNvSpPr>
          <a:spLocks/>
        </xdr:cNvSpPr>
      </xdr:nvSpPr>
      <xdr:spPr>
        <a:xfrm>
          <a:off x="14601825" y="183070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33</xdr:col>
      <xdr:colOff>19050</xdr:colOff>
      <xdr:row>99</xdr:row>
      <xdr:rowOff>0</xdr:rowOff>
    </xdr:from>
    <xdr:to>
      <xdr:col>33</xdr:col>
      <xdr:colOff>314325</xdr:colOff>
      <xdr:row>99</xdr:row>
      <xdr:rowOff>0</xdr:rowOff>
    </xdr:to>
    <xdr:sp>
      <xdr:nvSpPr>
        <xdr:cNvPr id="133" name="Rectangle 134"/>
        <xdr:cNvSpPr>
          <a:spLocks/>
        </xdr:cNvSpPr>
      </xdr:nvSpPr>
      <xdr:spPr>
        <a:xfrm>
          <a:off x="17221200" y="183070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6</xdr:col>
      <xdr:colOff>0</xdr:colOff>
      <xdr:row>99</xdr:row>
      <xdr:rowOff>0</xdr:rowOff>
    </xdr:from>
    <xdr:to>
      <xdr:col>6</xdr:col>
      <xdr:colOff>0</xdr:colOff>
      <xdr:row>99</xdr:row>
      <xdr:rowOff>0</xdr:rowOff>
    </xdr:to>
    <xdr:sp>
      <xdr:nvSpPr>
        <xdr:cNvPr id="134" name="Rectangle 135"/>
        <xdr:cNvSpPr>
          <a:spLocks/>
        </xdr:cNvSpPr>
      </xdr:nvSpPr>
      <xdr:spPr>
        <a:xfrm>
          <a:off x="4895850" y="1830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20</xdr:col>
      <xdr:colOff>19050</xdr:colOff>
      <xdr:row>99</xdr:row>
      <xdr:rowOff>0</xdr:rowOff>
    </xdr:from>
    <xdr:to>
      <xdr:col>20</xdr:col>
      <xdr:colOff>314325</xdr:colOff>
      <xdr:row>99</xdr:row>
      <xdr:rowOff>0</xdr:rowOff>
    </xdr:to>
    <xdr:sp>
      <xdr:nvSpPr>
        <xdr:cNvPr id="135" name="Rectangle 136"/>
        <xdr:cNvSpPr>
          <a:spLocks/>
        </xdr:cNvSpPr>
      </xdr:nvSpPr>
      <xdr:spPr>
        <a:xfrm>
          <a:off x="11049000" y="183070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20</xdr:col>
      <xdr:colOff>38100</xdr:colOff>
      <xdr:row>99</xdr:row>
      <xdr:rowOff>0</xdr:rowOff>
    </xdr:from>
    <xdr:to>
      <xdr:col>20</xdr:col>
      <xdr:colOff>314325</xdr:colOff>
      <xdr:row>99</xdr:row>
      <xdr:rowOff>0</xdr:rowOff>
    </xdr:to>
    <xdr:sp>
      <xdr:nvSpPr>
        <xdr:cNvPr id="136" name="Rectangle 137"/>
        <xdr:cNvSpPr>
          <a:spLocks/>
        </xdr:cNvSpPr>
      </xdr:nvSpPr>
      <xdr:spPr>
        <a:xfrm>
          <a:off x="11068050" y="183070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22</xdr:col>
      <xdr:colOff>0</xdr:colOff>
      <xdr:row>99</xdr:row>
      <xdr:rowOff>0</xdr:rowOff>
    </xdr:from>
    <xdr:to>
      <xdr:col>22</xdr:col>
      <xdr:colOff>0</xdr:colOff>
      <xdr:row>99</xdr:row>
      <xdr:rowOff>0</xdr:rowOff>
    </xdr:to>
    <xdr:sp>
      <xdr:nvSpPr>
        <xdr:cNvPr id="137" name="Rectangle 138"/>
        <xdr:cNvSpPr>
          <a:spLocks/>
        </xdr:cNvSpPr>
      </xdr:nvSpPr>
      <xdr:spPr>
        <a:xfrm>
          <a:off x="11934825" y="1830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28</xdr:col>
      <xdr:colOff>38100</xdr:colOff>
      <xdr:row>99</xdr:row>
      <xdr:rowOff>0</xdr:rowOff>
    </xdr:from>
    <xdr:to>
      <xdr:col>28</xdr:col>
      <xdr:colOff>314325</xdr:colOff>
      <xdr:row>99</xdr:row>
      <xdr:rowOff>0</xdr:rowOff>
    </xdr:to>
    <xdr:sp>
      <xdr:nvSpPr>
        <xdr:cNvPr id="138" name="Rectangle 139"/>
        <xdr:cNvSpPr>
          <a:spLocks/>
        </xdr:cNvSpPr>
      </xdr:nvSpPr>
      <xdr:spPr>
        <a:xfrm>
          <a:off x="14620875" y="183070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33</xdr:col>
      <xdr:colOff>19050</xdr:colOff>
      <xdr:row>99</xdr:row>
      <xdr:rowOff>0</xdr:rowOff>
    </xdr:from>
    <xdr:to>
      <xdr:col>33</xdr:col>
      <xdr:colOff>314325</xdr:colOff>
      <xdr:row>99</xdr:row>
      <xdr:rowOff>0</xdr:rowOff>
    </xdr:to>
    <xdr:sp>
      <xdr:nvSpPr>
        <xdr:cNvPr id="139" name="Rectangle 140"/>
        <xdr:cNvSpPr>
          <a:spLocks/>
        </xdr:cNvSpPr>
      </xdr:nvSpPr>
      <xdr:spPr>
        <a:xfrm>
          <a:off x="17221200" y="183070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35</xdr:col>
      <xdr:colOff>19050</xdr:colOff>
      <xdr:row>99</xdr:row>
      <xdr:rowOff>0</xdr:rowOff>
    </xdr:from>
    <xdr:to>
      <xdr:col>35</xdr:col>
      <xdr:colOff>314325</xdr:colOff>
      <xdr:row>99</xdr:row>
      <xdr:rowOff>0</xdr:rowOff>
    </xdr:to>
    <xdr:sp>
      <xdr:nvSpPr>
        <xdr:cNvPr id="140" name="Rectangle 141"/>
        <xdr:cNvSpPr>
          <a:spLocks/>
        </xdr:cNvSpPr>
      </xdr:nvSpPr>
      <xdr:spPr>
        <a:xfrm>
          <a:off x="18183225" y="183070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4</xdr:col>
      <xdr:colOff>38100</xdr:colOff>
      <xdr:row>99</xdr:row>
      <xdr:rowOff>0</xdr:rowOff>
    </xdr:from>
    <xdr:to>
      <xdr:col>4</xdr:col>
      <xdr:colOff>314325</xdr:colOff>
      <xdr:row>99</xdr:row>
      <xdr:rowOff>0</xdr:rowOff>
    </xdr:to>
    <xdr:sp>
      <xdr:nvSpPr>
        <xdr:cNvPr id="141" name="Rectangle 142"/>
        <xdr:cNvSpPr>
          <a:spLocks/>
        </xdr:cNvSpPr>
      </xdr:nvSpPr>
      <xdr:spPr>
        <a:xfrm>
          <a:off x="4029075" y="183070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4</xdr:col>
      <xdr:colOff>19050</xdr:colOff>
      <xdr:row>99</xdr:row>
      <xdr:rowOff>0</xdr:rowOff>
    </xdr:from>
    <xdr:to>
      <xdr:col>4</xdr:col>
      <xdr:colOff>314325</xdr:colOff>
      <xdr:row>99</xdr:row>
      <xdr:rowOff>0</xdr:rowOff>
    </xdr:to>
    <xdr:sp>
      <xdr:nvSpPr>
        <xdr:cNvPr id="142" name="Rectangle 143"/>
        <xdr:cNvSpPr>
          <a:spLocks/>
        </xdr:cNvSpPr>
      </xdr:nvSpPr>
      <xdr:spPr>
        <a:xfrm>
          <a:off x="4010025" y="183070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22</xdr:col>
      <xdr:colOff>0</xdr:colOff>
      <xdr:row>99</xdr:row>
      <xdr:rowOff>0</xdr:rowOff>
    </xdr:from>
    <xdr:to>
      <xdr:col>22</xdr:col>
      <xdr:colOff>0</xdr:colOff>
      <xdr:row>99</xdr:row>
      <xdr:rowOff>0</xdr:rowOff>
    </xdr:to>
    <xdr:sp>
      <xdr:nvSpPr>
        <xdr:cNvPr id="143" name="Rectangle 144"/>
        <xdr:cNvSpPr>
          <a:spLocks/>
        </xdr:cNvSpPr>
      </xdr:nvSpPr>
      <xdr:spPr>
        <a:xfrm>
          <a:off x="11934825" y="1830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28</xdr:col>
      <xdr:colOff>19050</xdr:colOff>
      <xdr:row>99</xdr:row>
      <xdr:rowOff>0</xdr:rowOff>
    </xdr:from>
    <xdr:to>
      <xdr:col>28</xdr:col>
      <xdr:colOff>314325</xdr:colOff>
      <xdr:row>99</xdr:row>
      <xdr:rowOff>0</xdr:rowOff>
    </xdr:to>
    <xdr:sp>
      <xdr:nvSpPr>
        <xdr:cNvPr id="144" name="Rectangle 145"/>
        <xdr:cNvSpPr>
          <a:spLocks/>
        </xdr:cNvSpPr>
      </xdr:nvSpPr>
      <xdr:spPr>
        <a:xfrm>
          <a:off x="14601825" y="183070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35</xdr:col>
      <xdr:colOff>19050</xdr:colOff>
      <xdr:row>99</xdr:row>
      <xdr:rowOff>0</xdr:rowOff>
    </xdr:from>
    <xdr:to>
      <xdr:col>35</xdr:col>
      <xdr:colOff>314325</xdr:colOff>
      <xdr:row>99</xdr:row>
      <xdr:rowOff>0</xdr:rowOff>
    </xdr:to>
    <xdr:sp>
      <xdr:nvSpPr>
        <xdr:cNvPr id="145" name="Rectangle 146"/>
        <xdr:cNvSpPr>
          <a:spLocks/>
        </xdr:cNvSpPr>
      </xdr:nvSpPr>
      <xdr:spPr>
        <a:xfrm>
          <a:off x="18183225" y="183070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6</xdr:col>
      <xdr:colOff>0</xdr:colOff>
      <xdr:row>99</xdr:row>
      <xdr:rowOff>0</xdr:rowOff>
    </xdr:from>
    <xdr:to>
      <xdr:col>6</xdr:col>
      <xdr:colOff>0</xdr:colOff>
      <xdr:row>99</xdr:row>
      <xdr:rowOff>0</xdr:rowOff>
    </xdr:to>
    <xdr:sp>
      <xdr:nvSpPr>
        <xdr:cNvPr id="146" name="Rectangle 147"/>
        <xdr:cNvSpPr>
          <a:spLocks/>
        </xdr:cNvSpPr>
      </xdr:nvSpPr>
      <xdr:spPr>
        <a:xfrm>
          <a:off x="4895850" y="1830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20</xdr:col>
      <xdr:colOff>38100</xdr:colOff>
      <xdr:row>99</xdr:row>
      <xdr:rowOff>0</xdr:rowOff>
    </xdr:from>
    <xdr:to>
      <xdr:col>20</xdr:col>
      <xdr:colOff>314325</xdr:colOff>
      <xdr:row>99</xdr:row>
      <xdr:rowOff>0</xdr:rowOff>
    </xdr:to>
    <xdr:sp>
      <xdr:nvSpPr>
        <xdr:cNvPr id="147" name="Rectangle 148"/>
        <xdr:cNvSpPr>
          <a:spLocks/>
        </xdr:cNvSpPr>
      </xdr:nvSpPr>
      <xdr:spPr>
        <a:xfrm>
          <a:off x="11068050" y="183070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28</xdr:col>
      <xdr:colOff>19050</xdr:colOff>
      <xdr:row>99</xdr:row>
      <xdr:rowOff>0</xdr:rowOff>
    </xdr:from>
    <xdr:to>
      <xdr:col>28</xdr:col>
      <xdr:colOff>314325</xdr:colOff>
      <xdr:row>99</xdr:row>
      <xdr:rowOff>0</xdr:rowOff>
    </xdr:to>
    <xdr:sp>
      <xdr:nvSpPr>
        <xdr:cNvPr id="148" name="Rectangle 149"/>
        <xdr:cNvSpPr>
          <a:spLocks/>
        </xdr:cNvSpPr>
      </xdr:nvSpPr>
      <xdr:spPr>
        <a:xfrm>
          <a:off x="14601825" y="183070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20</xdr:col>
      <xdr:colOff>38100</xdr:colOff>
      <xdr:row>99</xdr:row>
      <xdr:rowOff>0</xdr:rowOff>
    </xdr:from>
    <xdr:to>
      <xdr:col>20</xdr:col>
      <xdr:colOff>314325</xdr:colOff>
      <xdr:row>99</xdr:row>
      <xdr:rowOff>0</xdr:rowOff>
    </xdr:to>
    <xdr:sp>
      <xdr:nvSpPr>
        <xdr:cNvPr id="149" name="Rectangle 150"/>
        <xdr:cNvSpPr>
          <a:spLocks/>
        </xdr:cNvSpPr>
      </xdr:nvSpPr>
      <xdr:spPr>
        <a:xfrm>
          <a:off x="11068050" y="183070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22</xdr:col>
      <xdr:colOff>0</xdr:colOff>
      <xdr:row>99</xdr:row>
      <xdr:rowOff>0</xdr:rowOff>
    </xdr:from>
    <xdr:to>
      <xdr:col>22</xdr:col>
      <xdr:colOff>0</xdr:colOff>
      <xdr:row>99</xdr:row>
      <xdr:rowOff>0</xdr:rowOff>
    </xdr:to>
    <xdr:sp>
      <xdr:nvSpPr>
        <xdr:cNvPr id="150" name="Rectangle 151"/>
        <xdr:cNvSpPr>
          <a:spLocks/>
        </xdr:cNvSpPr>
      </xdr:nvSpPr>
      <xdr:spPr>
        <a:xfrm>
          <a:off x="11934825" y="1830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28</xdr:col>
      <xdr:colOff>38100</xdr:colOff>
      <xdr:row>99</xdr:row>
      <xdr:rowOff>0</xdr:rowOff>
    </xdr:from>
    <xdr:to>
      <xdr:col>28</xdr:col>
      <xdr:colOff>314325</xdr:colOff>
      <xdr:row>99</xdr:row>
      <xdr:rowOff>0</xdr:rowOff>
    </xdr:to>
    <xdr:sp>
      <xdr:nvSpPr>
        <xdr:cNvPr id="151" name="Rectangle 152"/>
        <xdr:cNvSpPr>
          <a:spLocks/>
        </xdr:cNvSpPr>
      </xdr:nvSpPr>
      <xdr:spPr>
        <a:xfrm>
          <a:off x="14620875" y="183070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33</xdr:col>
      <xdr:colOff>19050</xdr:colOff>
      <xdr:row>99</xdr:row>
      <xdr:rowOff>0</xdr:rowOff>
    </xdr:from>
    <xdr:to>
      <xdr:col>33</xdr:col>
      <xdr:colOff>314325</xdr:colOff>
      <xdr:row>99</xdr:row>
      <xdr:rowOff>0</xdr:rowOff>
    </xdr:to>
    <xdr:sp>
      <xdr:nvSpPr>
        <xdr:cNvPr id="152" name="Rectangle 153"/>
        <xdr:cNvSpPr>
          <a:spLocks/>
        </xdr:cNvSpPr>
      </xdr:nvSpPr>
      <xdr:spPr>
        <a:xfrm>
          <a:off x="17221200" y="183070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35</xdr:col>
      <xdr:colOff>19050</xdr:colOff>
      <xdr:row>99</xdr:row>
      <xdr:rowOff>0</xdr:rowOff>
    </xdr:from>
    <xdr:to>
      <xdr:col>35</xdr:col>
      <xdr:colOff>314325</xdr:colOff>
      <xdr:row>99</xdr:row>
      <xdr:rowOff>0</xdr:rowOff>
    </xdr:to>
    <xdr:sp>
      <xdr:nvSpPr>
        <xdr:cNvPr id="153" name="Rectangle 154"/>
        <xdr:cNvSpPr>
          <a:spLocks/>
        </xdr:cNvSpPr>
      </xdr:nvSpPr>
      <xdr:spPr>
        <a:xfrm>
          <a:off x="18183225" y="183070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6</xdr:col>
      <xdr:colOff>0</xdr:colOff>
      <xdr:row>99</xdr:row>
      <xdr:rowOff>0</xdr:rowOff>
    </xdr:from>
    <xdr:to>
      <xdr:col>6</xdr:col>
      <xdr:colOff>0</xdr:colOff>
      <xdr:row>99</xdr:row>
      <xdr:rowOff>0</xdr:rowOff>
    </xdr:to>
    <xdr:sp>
      <xdr:nvSpPr>
        <xdr:cNvPr id="154" name="Rectangle 155"/>
        <xdr:cNvSpPr>
          <a:spLocks/>
        </xdr:cNvSpPr>
      </xdr:nvSpPr>
      <xdr:spPr>
        <a:xfrm>
          <a:off x="4895850" y="1830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20</xdr:col>
      <xdr:colOff>19050</xdr:colOff>
      <xdr:row>99</xdr:row>
      <xdr:rowOff>0</xdr:rowOff>
    </xdr:from>
    <xdr:to>
      <xdr:col>20</xdr:col>
      <xdr:colOff>314325</xdr:colOff>
      <xdr:row>99</xdr:row>
      <xdr:rowOff>0</xdr:rowOff>
    </xdr:to>
    <xdr:sp>
      <xdr:nvSpPr>
        <xdr:cNvPr id="155" name="Rectangle 156"/>
        <xdr:cNvSpPr>
          <a:spLocks/>
        </xdr:cNvSpPr>
      </xdr:nvSpPr>
      <xdr:spPr>
        <a:xfrm>
          <a:off x="11049000" y="183070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22</xdr:col>
      <xdr:colOff>0</xdr:colOff>
      <xdr:row>99</xdr:row>
      <xdr:rowOff>0</xdr:rowOff>
    </xdr:from>
    <xdr:to>
      <xdr:col>22</xdr:col>
      <xdr:colOff>0</xdr:colOff>
      <xdr:row>99</xdr:row>
      <xdr:rowOff>0</xdr:rowOff>
    </xdr:to>
    <xdr:sp>
      <xdr:nvSpPr>
        <xdr:cNvPr id="156" name="Rectangle 157"/>
        <xdr:cNvSpPr>
          <a:spLocks/>
        </xdr:cNvSpPr>
      </xdr:nvSpPr>
      <xdr:spPr>
        <a:xfrm>
          <a:off x="11934825" y="1830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28</xdr:col>
      <xdr:colOff>19050</xdr:colOff>
      <xdr:row>99</xdr:row>
      <xdr:rowOff>0</xdr:rowOff>
    </xdr:from>
    <xdr:to>
      <xdr:col>28</xdr:col>
      <xdr:colOff>314325</xdr:colOff>
      <xdr:row>99</xdr:row>
      <xdr:rowOff>0</xdr:rowOff>
    </xdr:to>
    <xdr:sp>
      <xdr:nvSpPr>
        <xdr:cNvPr id="157" name="Rectangle 158"/>
        <xdr:cNvSpPr>
          <a:spLocks/>
        </xdr:cNvSpPr>
      </xdr:nvSpPr>
      <xdr:spPr>
        <a:xfrm>
          <a:off x="14601825" y="183070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33</xdr:col>
      <xdr:colOff>19050</xdr:colOff>
      <xdr:row>99</xdr:row>
      <xdr:rowOff>0</xdr:rowOff>
    </xdr:from>
    <xdr:to>
      <xdr:col>33</xdr:col>
      <xdr:colOff>314325</xdr:colOff>
      <xdr:row>99</xdr:row>
      <xdr:rowOff>0</xdr:rowOff>
    </xdr:to>
    <xdr:sp>
      <xdr:nvSpPr>
        <xdr:cNvPr id="158" name="Rectangle 159"/>
        <xdr:cNvSpPr>
          <a:spLocks/>
        </xdr:cNvSpPr>
      </xdr:nvSpPr>
      <xdr:spPr>
        <a:xfrm>
          <a:off x="17221200" y="183070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6</xdr:col>
      <xdr:colOff>0</xdr:colOff>
      <xdr:row>99</xdr:row>
      <xdr:rowOff>0</xdr:rowOff>
    </xdr:from>
    <xdr:to>
      <xdr:col>6</xdr:col>
      <xdr:colOff>0</xdr:colOff>
      <xdr:row>99</xdr:row>
      <xdr:rowOff>0</xdr:rowOff>
    </xdr:to>
    <xdr:sp>
      <xdr:nvSpPr>
        <xdr:cNvPr id="159" name="Rectangle 160"/>
        <xdr:cNvSpPr>
          <a:spLocks/>
        </xdr:cNvSpPr>
      </xdr:nvSpPr>
      <xdr:spPr>
        <a:xfrm>
          <a:off x="4895850" y="1830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20</xdr:col>
      <xdr:colOff>19050</xdr:colOff>
      <xdr:row>99</xdr:row>
      <xdr:rowOff>0</xdr:rowOff>
    </xdr:from>
    <xdr:to>
      <xdr:col>20</xdr:col>
      <xdr:colOff>314325</xdr:colOff>
      <xdr:row>99</xdr:row>
      <xdr:rowOff>0</xdr:rowOff>
    </xdr:to>
    <xdr:sp>
      <xdr:nvSpPr>
        <xdr:cNvPr id="160" name="Rectangle 161"/>
        <xdr:cNvSpPr>
          <a:spLocks/>
        </xdr:cNvSpPr>
      </xdr:nvSpPr>
      <xdr:spPr>
        <a:xfrm>
          <a:off x="11049000" y="183070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22</xdr:col>
      <xdr:colOff>0</xdr:colOff>
      <xdr:row>99</xdr:row>
      <xdr:rowOff>0</xdr:rowOff>
    </xdr:from>
    <xdr:to>
      <xdr:col>22</xdr:col>
      <xdr:colOff>0</xdr:colOff>
      <xdr:row>99</xdr:row>
      <xdr:rowOff>0</xdr:rowOff>
    </xdr:to>
    <xdr:sp>
      <xdr:nvSpPr>
        <xdr:cNvPr id="161" name="Rectangle 162"/>
        <xdr:cNvSpPr>
          <a:spLocks/>
        </xdr:cNvSpPr>
      </xdr:nvSpPr>
      <xdr:spPr>
        <a:xfrm>
          <a:off x="11934825" y="1830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28</xdr:col>
      <xdr:colOff>19050</xdr:colOff>
      <xdr:row>99</xdr:row>
      <xdr:rowOff>0</xdr:rowOff>
    </xdr:from>
    <xdr:to>
      <xdr:col>28</xdr:col>
      <xdr:colOff>314325</xdr:colOff>
      <xdr:row>99</xdr:row>
      <xdr:rowOff>0</xdr:rowOff>
    </xdr:to>
    <xdr:sp>
      <xdr:nvSpPr>
        <xdr:cNvPr id="162" name="Rectangle 163"/>
        <xdr:cNvSpPr>
          <a:spLocks/>
        </xdr:cNvSpPr>
      </xdr:nvSpPr>
      <xdr:spPr>
        <a:xfrm>
          <a:off x="14601825" y="183070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33</xdr:col>
      <xdr:colOff>19050</xdr:colOff>
      <xdr:row>99</xdr:row>
      <xdr:rowOff>0</xdr:rowOff>
    </xdr:from>
    <xdr:to>
      <xdr:col>33</xdr:col>
      <xdr:colOff>314325</xdr:colOff>
      <xdr:row>99</xdr:row>
      <xdr:rowOff>0</xdr:rowOff>
    </xdr:to>
    <xdr:sp>
      <xdr:nvSpPr>
        <xdr:cNvPr id="163" name="Rectangle 164"/>
        <xdr:cNvSpPr>
          <a:spLocks/>
        </xdr:cNvSpPr>
      </xdr:nvSpPr>
      <xdr:spPr>
        <a:xfrm>
          <a:off x="17221200" y="183070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20</xdr:col>
      <xdr:colOff>38100</xdr:colOff>
      <xdr:row>99</xdr:row>
      <xdr:rowOff>0</xdr:rowOff>
    </xdr:from>
    <xdr:to>
      <xdr:col>20</xdr:col>
      <xdr:colOff>314325</xdr:colOff>
      <xdr:row>99</xdr:row>
      <xdr:rowOff>0</xdr:rowOff>
    </xdr:to>
    <xdr:sp>
      <xdr:nvSpPr>
        <xdr:cNvPr id="164" name="Rectangle 165"/>
        <xdr:cNvSpPr>
          <a:spLocks/>
        </xdr:cNvSpPr>
      </xdr:nvSpPr>
      <xdr:spPr>
        <a:xfrm>
          <a:off x="11068050" y="183070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22</xdr:col>
      <xdr:colOff>0</xdr:colOff>
      <xdr:row>99</xdr:row>
      <xdr:rowOff>0</xdr:rowOff>
    </xdr:from>
    <xdr:to>
      <xdr:col>22</xdr:col>
      <xdr:colOff>0</xdr:colOff>
      <xdr:row>99</xdr:row>
      <xdr:rowOff>0</xdr:rowOff>
    </xdr:to>
    <xdr:sp>
      <xdr:nvSpPr>
        <xdr:cNvPr id="165" name="Rectangle 166"/>
        <xdr:cNvSpPr>
          <a:spLocks/>
        </xdr:cNvSpPr>
      </xdr:nvSpPr>
      <xdr:spPr>
        <a:xfrm>
          <a:off x="11934825" y="1830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28</xdr:col>
      <xdr:colOff>38100</xdr:colOff>
      <xdr:row>99</xdr:row>
      <xdr:rowOff>0</xdr:rowOff>
    </xdr:from>
    <xdr:to>
      <xdr:col>28</xdr:col>
      <xdr:colOff>314325</xdr:colOff>
      <xdr:row>99</xdr:row>
      <xdr:rowOff>0</xdr:rowOff>
    </xdr:to>
    <xdr:sp>
      <xdr:nvSpPr>
        <xdr:cNvPr id="166" name="Rectangle 167"/>
        <xdr:cNvSpPr>
          <a:spLocks/>
        </xdr:cNvSpPr>
      </xdr:nvSpPr>
      <xdr:spPr>
        <a:xfrm>
          <a:off x="14620875" y="183070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33</xdr:col>
      <xdr:colOff>19050</xdr:colOff>
      <xdr:row>99</xdr:row>
      <xdr:rowOff>0</xdr:rowOff>
    </xdr:from>
    <xdr:to>
      <xdr:col>33</xdr:col>
      <xdr:colOff>314325</xdr:colOff>
      <xdr:row>99</xdr:row>
      <xdr:rowOff>0</xdr:rowOff>
    </xdr:to>
    <xdr:sp>
      <xdr:nvSpPr>
        <xdr:cNvPr id="167" name="Rectangle 168"/>
        <xdr:cNvSpPr>
          <a:spLocks/>
        </xdr:cNvSpPr>
      </xdr:nvSpPr>
      <xdr:spPr>
        <a:xfrm>
          <a:off x="17221200" y="183070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35</xdr:col>
      <xdr:colOff>19050</xdr:colOff>
      <xdr:row>99</xdr:row>
      <xdr:rowOff>0</xdr:rowOff>
    </xdr:from>
    <xdr:to>
      <xdr:col>35</xdr:col>
      <xdr:colOff>314325</xdr:colOff>
      <xdr:row>99</xdr:row>
      <xdr:rowOff>0</xdr:rowOff>
    </xdr:to>
    <xdr:sp>
      <xdr:nvSpPr>
        <xdr:cNvPr id="168" name="Rectangle 169"/>
        <xdr:cNvSpPr>
          <a:spLocks/>
        </xdr:cNvSpPr>
      </xdr:nvSpPr>
      <xdr:spPr>
        <a:xfrm>
          <a:off x="18183225" y="183070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20</xdr:col>
      <xdr:colOff>38100</xdr:colOff>
      <xdr:row>99</xdr:row>
      <xdr:rowOff>0</xdr:rowOff>
    </xdr:from>
    <xdr:to>
      <xdr:col>20</xdr:col>
      <xdr:colOff>314325</xdr:colOff>
      <xdr:row>99</xdr:row>
      <xdr:rowOff>0</xdr:rowOff>
    </xdr:to>
    <xdr:sp>
      <xdr:nvSpPr>
        <xdr:cNvPr id="169" name="Rectangle 170"/>
        <xdr:cNvSpPr>
          <a:spLocks/>
        </xdr:cNvSpPr>
      </xdr:nvSpPr>
      <xdr:spPr>
        <a:xfrm>
          <a:off x="11068050" y="183070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22</xdr:col>
      <xdr:colOff>0</xdr:colOff>
      <xdr:row>99</xdr:row>
      <xdr:rowOff>0</xdr:rowOff>
    </xdr:from>
    <xdr:to>
      <xdr:col>22</xdr:col>
      <xdr:colOff>0</xdr:colOff>
      <xdr:row>99</xdr:row>
      <xdr:rowOff>0</xdr:rowOff>
    </xdr:to>
    <xdr:sp>
      <xdr:nvSpPr>
        <xdr:cNvPr id="170" name="Rectangle 171"/>
        <xdr:cNvSpPr>
          <a:spLocks/>
        </xdr:cNvSpPr>
      </xdr:nvSpPr>
      <xdr:spPr>
        <a:xfrm>
          <a:off x="11934825" y="1830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28</xdr:col>
      <xdr:colOff>38100</xdr:colOff>
      <xdr:row>99</xdr:row>
      <xdr:rowOff>0</xdr:rowOff>
    </xdr:from>
    <xdr:to>
      <xdr:col>28</xdr:col>
      <xdr:colOff>314325</xdr:colOff>
      <xdr:row>99</xdr:row>
      <xdr:rowOff>0</xdr:rowOff>
    </xdr:to>
    <xdr:sp>
      <xdr:nvSpPr>
        <xdr:cNvPr id="171" name="Rectangle 172"/>
        <xdr:cNvSpPr>
          <a:spLocks/>
        </xdr:cNvSpPr>
      </xdr:nvSpPr>
      <xdr:spPr>
        <a:xfrm>
          <a:off x="14620875" y="183070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33</xdr:col>
      <xdr:colOff>19050</xdr:colOff>
      <xdr:row>99</xdr:row>
      <xdr:rowOff>0</xdr:rowOff>
    </xdr:from>
    <xdr:to>
      <xdr:col>33</xdr:col>
      <xdr:colOff>314325</xdr:colOff>
      <xdr:row>99</xdr:row>
      <xdr:rowOff>0</xdr:rowOff>
    </xdr:to>
    <xdr:sp>
      <xdr:nvSpPr>
        <xdr:cNvPr id="172" name="Rectangle 173"/>
        <xdr:cNvSpPr>
          <a:spLocks/>
        </xdr:cNvSpPr>
      </xdr:nvSpPr>
      <xdr:spPr>
        <a:xfrm>
          <a:off x="17221200" y="183070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35</xdr:col>
      <xdr:colOff>19050</xdr:colOff>
      <xdr:row>99</xdr:row>
      <xdr:rowOff>0</xdr:rowOff>
    </xdr:from>
    <xdr:to>
      <xdr:col>35</xdr:col>
      <xdr:colOff>314325</xdr:colOff>
      <xdr:row>99</xdr:row>
      <xdr:rowOff>0</xdr:rowOff>
    </xdr:to>
    <xdr:sp>
      <xdr:nvSpPr>
        <xdr:cNvPr id="173" name="Rectangle 174"/>
        <xdr:cNvSpPr>
          <a:spLocks/>
        </xdr:cNvSpPr>
      </xdr:nvSpPr>
      <xdr:spPr>
        <a:xfrm>
          <a:off x="18183225" y="183070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20</xdr:col>
      <xdr:colOff>38100</xdr:colOff>
      <xdr:row>99</xdr:row>
      <xdr:rowOff>0</xdr:rowOff>
    </xdr:from>
    <xdr:to>
      <xdr:col>20</xdr:col>
      <xdr:colOff>314325</xdr:colOff>
      <xdr:row>99</xdr:row>
      <xdr:rowOff>0</xdr:rowOff>
    </xdr:to>
    <xdr:sp>
      <xdr:nvSpPr>
        <xdr:cNvPr id="174" name="Rectangle 175"/>
        <xdr:cNvSpPr>
          <a:spLocks/>
        </xdr:cNvSpPr>
      </xdr:nvSpPr>
      <xdr:spPr>
        <a:xfrm>
          <a:off x="11068050" y="183070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22</xdr:col>
      <xdr:colOff>0</xdr:colOff>
      <xdr:row>99</xdr:row>
      <xdr:rowOff>0</xdr:rowOff>
    </xdr:from>
    <xdr:to>
      <xdr:col>22</xdr:col>
      <xdr:colOff>0</xdr:colOff>
      <xdr:row>99</xdr:row>
      <xdr:rowOff>0</xdr:rowOff>
    </xdr:to>
    <xdr:sp>
      <xdr:nvSpPr>
        <xdr:cNvPr id="175" name="Rectangle 176"/>
        <xdr:cNvSpPr>
          <a:spLocks/>
        </xdr:cNvSpPr>
      </xdr:nvSpPr>
      <xdr:spPr>
        <a:xfrm>
          <a:off x="11934825" y="1830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28</xdr:col>
      <xdr:colOff>38100</xdr:colOff>
      <xdr:row>99</xdr:row>
      <xdr:rowOff>0</xdr:rowOff>
    </xdr:from>
    <xdr:to>
      <xdr:col>28</xdr:col>
      <xdr:colOff>314325</xdr:colOff>
      <xdr:row>99</xdr:row>
      <xdr:rowOff>0</xdr:rowOff>
    </xdr:to>
    <xdr:sp>
      <xdr:nvSpPr>
        <xdr:cNvPr id="176" name="Rectangle 177"/>
        <xdr:cNvSpPr>
          <a:spLocks/>
        </xdr:cNvSpPr>
      </xdr:nvSpPr>
      <xdr:spPr>
        <a:xfrm>
          <a:off x="14620875" y="183070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33</xdr:col>
      <xdr:colOff>19050</xdr:colOff>
      <xdr:row>99</xdr:row>
      <xdr:rowOff>0</xdr:rowOff>
    </xdr:from>
    <xdr:to>
      <xdr:col>33</xdr:col>
      <xdr:colOff>314325</xdr:colOff>
      <xdr:row>99</xdr:row>
      <xdr:rowOff>0</xdr:rowOff>
    </xdr:to>
    <xdr:sp>
      <xdr:nvSpPr>
        <xdr:cNvPr id="177" name="Rectangle 178"/>
        <xdr:cNvSpPr>
          <a:spLocks/>
        </xdr:cNvSpPr>
      </xdr:nvSpPr>
      <xdr:spPr>
        <a:xfrm>
          <a:off x="17221200" y="183070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35</xdr:col>
      <xdr:colOff>19050</xdr:colOff>
      <xdr:row>99</xdr:row>
      <xdr:rowOff>0</xdr:rowOff>
    </xdr:from>
    <xdr:to>
      <xdr:col>35</xdr:col>
      <xdr:colOff>314325</xdr:colOff>
      <xdr:row>99</xdr:row>
      <xdr:rowOff>0</xdr:rowOff>
    </xdr:to>
    <xdr:sp>
      <xdr:nvSpPr>
        <xdr:cNvPr id="178" name="Rectangle 179"/>
        <xdr:cNvSpPr>
          <a:spLocks/>
        </xdr:cNvSpPr>
      </xdr:nvSpPr>
      <xdr:spPr>
        <a:xfrm>
          <a:off x="18183225" y="183070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6</xdr:col>
      <xdr:colOff>0</xdr:colOff>
      <xdr:row>99</xdr:row>
      <xdr:rowOff>0</xdr:rowOff>
    </xdr:from>
    <xdr:to>
      <xdr:col>6</xdr:col>
      <xdr:colOff>0</xdr:colOff>
      <xdr:row>99</xdr:row>
      <xdr:rowOff>0</xdr:rowOff>
    </xdr:to>
    <xdr:sp>
      <xdr:nvSpPr>
        <xdr:cNvPr id="179" name="Rectangle 180"/>
        <xdr:cNvSpPr>
          <a:spLocks/>
        </xdr:cNvSpPr>
      </xdr:nvSpPr>
      <xdr:spPr>
        <a:xfrm>
          <a:off x="4895850" y="1830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20</xdr:col>
      <xdr:colOff>85725</xdr:colOff>
      <xdr:row>99</xdr:row>
      <xdr:rowOff>0</xdr:rowOff>
    </xdr:from>
    <xdr:to>
      <xdr:col>20</xdr:col>
      <xdr:colOff>409575</xdr:colOff>
      <xdr:row>99</xdr:row>
      <xdr:rowOff>0</xdr:rowOff>
    </xdr:to>
    <xdr:sp>
      <xdr:nvSpPr>
        <xdr:cNvPr id="180" name="Rectangle 181"/>
        <xdr:cNvSpPr>
          <a:spLocks/>
        </xdr:cNvSpPr>
      </xdr:nvSpPr>
      <xdr:spPr>
        <a:xfrm>
          <a:off x="11115675" y="18307050"/>
          <a:ext cx="323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6</xdr:col>
      <xdr:colOff>0</xdr:colOff>
      <xdr:row>99</xdr:row>
      <xdr:rowOff>0</xdr:rowOff>
    </xdr:from>
    <xdr:to>
      <xdr:col>6</xdr:col>
      <xdr:colOff>0</xdr:colOff>
      <xdr:row>99</xdr:row>
      <xdr:rowOff>0</xdr:rowOff>
    </xdr:to>
    <xdr:sp>
      <xdr:nvSpPr>
        <xdr:cNvPr id="181" name="Rectangle 182"/>
        <xdr:cNvSpPr>
          <a:spLocks/>
        </xdr:cNvSpPr>
      </xdr:nvSpPr>
      <xdr:spPr>
        <a:xfrm>
          <a:off x="4895850" y="1830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</a:p>
      </xdr:txBody>
    </xdr:sp>
    <xdr:clientData/>
  </xdr:twoCellAnchor>
  <xdr:twoCellAnchor>
    <xdr:from>
      <xdr:col>6</xdr:col>
      <xdr:colOff>0</xdr:colOff>
      <xdr:row>99</xdr:row>
      <xdr:rowOff>0</xdr:rowOff>
    </xdr:from>
    <xdr:to>
      <xdr:col>6</xdr:col>
      <xdr:colOff>0</xdr:colOff>
      <xdr:row>99</xdr:row>
      <xdr:rowOff>0</xdr:rowOff>
    </xdr:to>
    <xdr:sp>
      <xdr:nvSpPr>
        <xdr:cNvPr id="182" name="Rectangle 183"/>
        <xdr:cNvSpPr>
          <a:spLocks/>
        </xdr:cNvSpPr>
      </xdr:nvSpPr>
      <xdr:spPr>
        <a:xfrm>
          <a:off x="4895850" y="1830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6</xdr:col>
      <xdr:colOff>0</xdr:colOff>
      <xdr:row>99</xdr:row>
      <xdr:rowOff>0</xdr:rowOff>
    </xdr:from>
    <xdr:to>
      <xdr:col>6</xdr:col>
      <xdr:colOff>0</xdr:colOff>
      <xdr:row>99</xdr:row>
      <xdr:rowOff>0</xdr:rowOff>
    </xdr:to>
    <xdr:sp>
      <xdr:nvSpPr>
        <xdr:cNvPr id="183" name="Rectangle 184"/>
        <xdr:cNvSpPr>
          <a:spLocks/>
        </xdr:cNvSpPr>
      </xdr:nvSpPr>
      <xdr:spPr>
        <a:xfrm>
          <a:off x="4895850" y="1830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</a:p>
      </xdr:txBody>
    </xdr:sp>
    <xdr:clientData/>
  </xdr:twoCellAnchor>
  <xdr:twoCellAnchor>
    <xdr:from>
      <xdr:col>6</xdr:col>
      <xdr:colOff>0</xdr:colOff>
      <xdr:row>99</xdr:row>
      <xdr:rowOff>0</xdr:rowOff>
    </xdr:from>
    <xdr:to>
      <xdr:col>6</xdr:col>
      <xdr:colOff>0</xdr:colOff>
      <xdr:row>99</xdr:row>
      <xdr:rowOff>0</xdr:rowOff>
    </xdr:to>
    <xdr:sp>
      <xdr:nvSpPr>
        <xdr:cNvPr id="184" name="Rectangle 185"/>
        <xdr:cNvSpPr>
          <a:spLocks/>
        </xdr:cNvSpPr>
      </xdr:nvSpPr>
      <xdr:spPr>
        <a:xfrm>
          <a:off x="4895850" y="1830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6</xdr:col>
      <xdr:colOff>0</xdr:colOff>
      <xdr:row>99</xdr:row>
      <xdr:rowOff>0</xdr:rowOff>
    </xdr:from>
    <xdr:to>
      <xdr:col>6</xdr:col>
      <xdr:colOff>0</xdr:colOff>
      <xdr:row>99</xdr:row>
      <xdr:rowOff>0</xdr:rowOff>
    </xdr:to>
    <xdr:sp>
      <xdr:nvSpPr>
        <xdr:cNvPr id="185" name="Rectangle 186"/>
        <xdr:cNvSpPr>
          <a:spLocks/>
        </xdr:cNvSpPr>
      </xdr:nvSpPr>
      <xdr:spPr>
        <a:xfrm>
          <a:off x="4895850" y="1830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</a:p>
      </xdr:txBody>
    </xdr:sp>
    <xdr:clientData/>
  </xdr:twoCellAnchor>
  <xdr:twoCellAnchor>
    <xdr:from>
      <xdr:col>6</xdr:col>
      <xdr:colOff>0</xdr:colOff>
      <xdr:row>99</xdr:row>
      <xdr:rowOff>0</xdr:rowOff>
    </xdr:from>
    <xdr:to>
      <xdr:col>6</xdr:col>
      <xdr:colOff>0</xdr:colOff>
      <xdr:row>99</xdr:row>
      <xdr:rowOff>0</xdr:rowOff>
    </xdr:to>
    <xdr:sp>
      <xdr:nvSpPr>
        <xdr:cNvPr id="186" name="Rectangle 187"/>
        <xdr:cNvSpPr>
          <a:spLocks/>
        </xdr:cNvSpPr>
      </xdr:nvSpPr>
      <xdr:spPr>
        <a:xfrm>
          <a:off x="4895850" y="1830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20</xdr:col>
      <xdr:colOff>85725</xdr:colOff>
      <xdr:row>99</xdr:row>
      <xdr:rowOff>0</xdr:rowOff>
    </xdr:from>
    <xdr:to>
      <xdr:col>20</xdr:col>
      <xdr:colOff>409575</xdr:colOff>
      <xdr:row>99</xdr:row>
      <xdr:rowOff>0</xdr:rowOff>
    </xdr:to>
    <xdr:sp>
      <xdr:nvSpPr>
        <xdr:cNvPr id="187" name="Rectangle 188"/>
        <xdr:cNvSpPr>
          <a:spLocks/>
        </xdr:cNvSpPr>
      </xdr:nvSpPr>
      <xdr:spPr>
        <a:xfrm>
          <a:off x="11115675" y="18307050"/>
          <a:ext cx="323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6</xdr:col>
      <xdr:colOff>0</xdr:colOff>
      <xdr:row>99</xdr:row>
      <xdr:rowOff>0</xdr:rowOff>
    </xdr:from>
    <xdr:to>
      <xdr:col>6</xdr:col>
      <xdr:colOff>0</xdr:colOff>
      <xdr:row>99</xdr:row>
      <xdr:rowOff>0</xdr:rowOff>
    </xdr:to>
    <xdr:sp>
      <xdr:nvSpPr>
        <xdr:cNvPr id="188" name="Rectangle 189"/>
        <xdr:cNvSpPr>
          <a:spLocks/>
        </xdr:cNvSpPr>
      </xdr:nvSpPr>
      <xdr:spPr>
        <a:xfrm>
          <a:off x="4895850" y="1830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</a:p>
      </xdr:txBody>
    </xdr:sp>
    <xdr:clientData/>
  </xdr:twoCellAnchor>
  <xdr:twoCellAnchor>
    <xdr:from>
      <xdr:col>22</xdr:col>
      <xdr:colOff>0</xdr:colOff>
      <xdr:row>42</xdr:row>
      <xdr:rowOff>0</xdr:rowOff>
    </xdr:from>
    <xdr:to>
      <xdr:col>22</xdr:col>
      <xdr:colOff>0</xdr:colOff>
      <xdr:row>42</xdr:row>
      <xdr:rowOff>0</xdr:rowOff>
    </xdr:to>
    <xdr:sp>
      <xdr:nvSpPr>
        <xdr:cNvPr id="189" name="Rectangle 190"/>
        <xdr:cNvSpPr>
          <a:spLocks/>
        </xdr:cNvSpPr>
      </xdr:nvSpPr>
      <xdr:spPr>
        <a:xfrm>
          <a:off x="11934825" y="8963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190" name="Rectangle 191"/>
        <xdr:cNvSpPr>
          <a:spLocks/>
        </xdr:cNvSpPr>
      </xdr:nvSpPr>
      <xdr:spPr>
        <a:xfrm>
          <a:off x="4895850" y="8963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20</xdr:col>
      <xdr:colOff>123825</xdr:colOff>
      <xdr:row>42</xdr:row>
      <xdr:rowOff>0</xdr:rowOff>
    </xdr:from>
    <xdr:to>
      <xdr:col>20</xdr:col>
      <xdr:colOff>419100</xdr:colOff>
      <xdr:row>42</xdr:row>
      <xdr:rowOff>0</xdr:rowOff>
    </xdr:to>
    <xdr:sp>
      <xdr:nvSpPr>
        <xdr:cNvPr id="191" name="Rectangle 192"/>
        <xdr:cNvSpPr>
          <a:spLocks/>
        </xdr:cNvSpPr>
      </xdr:nvSpPr>
      <xdr:spPr>
        <a:xfrm>
          <a:off x="11153775" y="89630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4</xdr:col>
      <xdr:colOff>104775</xdr:colOff>
      <xdr:row>42</xdr:row>
      <xdr:rowOff>0</xdr:rowOff>
    </xdr:from>
    <xdr:to>
      <xdr:col>4</xdr:col>
      <xdr:colOff>419100</xdr:colOff>
      <xdr:row>42</xdr:row>
      <xdr:rowOff>0</xdr:rowOff>
    </xdr:to>
    <xdr:sp>
      <xdr:nvSpPr>
        <xdr:cNvPr id="192" name="Rectangle 193"/>
        <xdr:cNvSpPr>
          <a:spLocks/>
        </xdr:cNvSpPr>
      </xdr:nvSpPr>
      <xdr:spPr>
        <a:xfrm>
          <a:off x="4095750" y="8963025"/>
          <a:ext cx="31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4</xdr:col>
      <xdr:colOff>104775</xdr:colOff>
      <xdr:row>42</xdr:row>
      <xdr:rowOff>0</xdr:rowOff>
    </xdr:from>
    <xdr:to>
      <xdr:col>4</xdr:col>
      <xdr:colOff>419100</xdr:colOff>
      <xdr:row>42</xdr:row>
      <xdr:rowOff>0</xdr:rowOff>
    </xdr:to>
    <xdr:sp>
      <xdr:nvSpPr>
        <xdr:cNvPr id="193" name="Rectangle 194"/>
        <xdr:cNvSpPr>
          <a:spLocks/>
        </xdr:cNvSpPr>
      </xdr:nvSpPr>
      <xdr:spPr>
        <a:xfrm>
          <a:off x="4095750" y="8963025"/>
          <a:ext cx="31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194" name="Rectangle 195"/>
        <xdr:cNvSpPr>
          <a:spLocks/>
        </xdr:cNvSpPr>
      </xdr:nvSpPr>
      <xdr:spPr>
        <a:xfrm>
          <a:off x="3990975" y="8963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195" name="Rectangle 196"/>
        <xdr:cNvSpPr>
          <a:spLocks/>
        </xdr:cNvSpPr>
      </xdr:nvSpPr>
      <xdr:spPr>
        <a:xfrm>
          <a:off x="3990975" y="8963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33</xdr:col>
      <xdr:colOff>85725</xdr:colOff>
      <xdr:row>42</xdr:row>
      <xdr:rowOff>0</xdr:rowOff>
    </xdr:from>
    <xdr:to>
      <xdr:col>33</xdr:col>
      <xdr:colOff>381000</xdr:colOff>
      <xdr:row>42</xdr:row>
      <xdr:rowOff>0</xdr:rowOff>
    </xdr:to>
    <xdr:sp>
      <xdr:nvSpPr>
        <xdr:cNvPr id="196" name="Rectangle 197"/>
        <xdr:cNvSpPr>
          <a:spLocks/>
        </xdr:cNvSpPr>
      </xdr:nvSpPr>
      <xdr:spPr>
        <a:xfrm>
          <a:off x="17287875" y="89630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33</xdr:col>
      <xdr:colOff>85725</xdr:colOff>
      <xdr:row>42</xdr:row>
      <xdr:rowOff>0</xdr:rowOff>
    </xdr:from>
    <xdr:to>
      <xdr:col>33</xdr:col>
      <xdr:colOff>381000</xdr:colOff>
      <xdr:row>42</xdr:row>
      <xdr:rowOff>0</xdr:rowOff>
    </xdr:to>
    <xdr:sp>
      <xdr:nvSpPr>
        <xdr:cNvPr id="197" name="Rectangle 198"/>
        <xdr:cNvSpPr>
          <a:spLocks/>
        </xdr:cNvSpPr>
      </xdr:nvSpPr>
      <xdr:spPr>
        <a:xfrm>
          <a:off x="17287875" y="89630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104775</xdr:colOff>
      <xdr:row>42</xdr:row>
      <xdr:rowOff>0</xdr:rowOff>
    </xdr:from>
    <xdr:to>
      <xdr:col>12</xdr:col>
      <xdr:colOff>419100</xdr:colOff>
      <xdr:row>42</xdr:row>
      <xdr:rowOff>0</xdr:rowOff>
    </xdr:to>
    <xdr:sp>
      <xdr:nvSpPr>
        <xdr:cNvPr id="198" name="Rectangle 199"/>
        <xdr:cNvSpPr>
          <a:spLocks/>
        </xdr:cNvSpPr>
      </xdr:nvSpPr>
      <xdr:spPr>
        <a:xfrm>
          <a:off x="7658100" y="8963025"/>
          <a:ext cx="31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104775</xdr:colOff>
      <xdr:row>42</xdr:row>
      <xdr:rowOff>0</xdr:rowOff>
    </xdr:from>
    <xdr:to>
      <xdr:col>12</xdr:col>
      <xdr:colOff>419100</xdr:colOff>
      <xdr:row>42</xdr:row>
      <xdr:rowOff>0</xdr:rowOff>
    </xdr:to>
    <xdr:sp>
      <xdr:nvSpPr>
        <xdr:cNvPr id="199" name="Rectangle 200"/>
        <xdr:cNvSpPr>
          <a:spLocks/>
        </xdr:cNvSpPr>
      </xdr:nvSpPr>
      <xdr:spPr>
        <a:xfrm>
          <a:off x="7658100" y="8963025"/>
          <a:ext cx="31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85</xdr:row>
      <xdr:rowOff>0</xdr:rowOff>
    </xdr:from>
    <xdr:to>
      <xdr:col>4</xdr:col>
      <xdr:colOff>314325</xdr:colOff>
      <xdr:row>85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095750" y="20583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5</xdr:col>
      <xdr:colOff>19050</xdr:colOff>
      <xdr:row>85</xdr:row>
      <xdr:rowOff>0</xdr:rowOff>
    </xdr:from>
    <xdr:to>
      <xdr:col>5</xdr:col>
      <xdr:colOff>314325</xdr:colOff>
      <xdr:row>85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172075" y="20583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6</xdr:col>
      <xdr:colOff>38100</xdr:colOff>
      <xdr:row>85</xdr:row>
      <xdr:rowOff>0</xdr:rowOff>
    </xdr:from>
    <xdr:to>
      <xdr:col>6</xdr:col>
      <xdr:colOff>314325</xdr:colOff>
      <xdr:row>85</xdr:row>
      <xdr:rowOff>0</xdr:rowOff>
    </xdr:to>
    <xdr:sp>
      <xdr:nvSpPr>
        <xdr:cNvPr id="3" name="Rectangle 3"/>
        <xdr:cNvSpPr>
          <a:spLocks/>
        </xdr:cNvSpPr>
      </xdr:nvSpPr>
      <xdr:spPr>
        <a:xfrm>
          <a:off x="6238875" y="20583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7</xdr:col>
      <xdr:colOff>19050</xdr:colOff>
      <xdr:row>85</xdr:row>
      <xdr:rowOff>0</xdr:rowOff>
    </xdr:from>
    <xdr:to>
      <xdr:col>7</xdr:col>
      <xdr:colOff>314325</xdr:colOff>
      <xdr:row>85</xdr:row>
      <xdr:rowOff>0</xdr:rowOff>
    </xdr:to>
    <xdr:sp>
      <xdr:nvSpPr>
        <xdr:cNvPr id="4" name="Rectangle 4"/>
        <xdr:cNvSpPr>
          <a:spLocks/>
        </xdr:cNvSpPr>
      </xdr:nvSpPr>
      <xdr:spPr>
        <a:xfrm>
          <a:off x="7239000" y="20583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9</xdr:col>
      <xdr:colOff>19050</xdr:colOff>
      <xdr:row>85</xdr:row>
      <xdr:rowOff>0</xdr:rowOff>
    </xdr:from>
    <xdr:to>
      <xdr:col>9</xdr:col>
      <xdr:colOff>314325</xdr:colOff>
      <xdr:row>85</xdr:row>
      <xdr:rowOff>0</xdr:rowOff>
    </xdr:to>
    <xdr:sp>
      <xdr:nvSpPr>
        <xdr:cNvPr id="5" name="Rectangle 5"/>
        <xdr:cNvSpPr>
          <a:spLocks/>
        </xdr:cNvSpPr>
      </xdr:nvSpPr>
      <xdr:spPr>
        <a:xfrm>
          <a:off x="8382000" y="20583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22</xdr:col>
      <xdr:colOff>504825</xdr:colOff>
      <xdr:row>22</xdr:row>
      <xdr:rowOff>0</xdr:rowOff>
    </xdr:from>
    <xdr:to>
      <xdr:col>23</xdr:col>
      <xdr:colOff>133350</xdr:colOff>
      <xdr:row>23</xdr:row>
      <xdr:rowOff>9525</xdr:rowOff>
    </xdr:to>
    <xdr:sp>
      <xdr:nvSpPr>
        <xdr:cNvPr id="6" name="Rectangle 6"/>
        <xdr:cNvSpPr>
          <a:spLocks/>
        </xdr:cNvSpPr>
      </xdr:nvSpPr>
      <xdr:spPr>
        <a:xfrm flipH="1">
          <a:off x="16078200" y="5600700"/>
          <a:ext cx="38100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38100</xdr:colOff>
      <xdr:row>85</xdr:row>
      <xdr:rowOff>0</xdr:rowOff>
    </xdr:from>
    <xdr:to>
      <xdr:col>4</xdr:col>
      <xdr:colOff>314325</xdr:colOff>
      <xdr:row>85</xdr:row>
      <xdr:rowOff>0</xdr:rowOff>
    </xdr:to>
    <xdr:sp>
      <xdr:nvSpPr>
        <xdr:cNvPr id="7" name="Rectangle 7"/>
        <xdr:cNvSpPr>
          <a:spLocks/>
        </xdr:cNvSpPr>
      </xdr:nvSpPr>
      <xdr:spPr>
        <a:xfrm>
          <a:off x="4095750" y="20583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5</xdr:col>
      <xdr:colOff>19050</xdr:colOff>
      <xdr:row>85</xdr:row>
      <xdr:rowOff>0</xdr:rowOff>
    </xdr:from>
    <xdr:to>
      <xdr:col>5</xdr:col>
      <xdr:colOff>314325</xdr:colOff>
      <xdr:row>85</xdr:row>
      <xdr:rowOff>0</xdr:rowOff>
    </xdr:to>
    <xdr:sp>
      <xdr:nvSpPr>
        <xdr:cNvPr id="8" name="Rectangle 8"/>
        <xdr:cNvSpPr>
          <a:spLocks/>
        </xdr:cNvSpPr>
      </xdr:nvSpPr>
      <xdr:spPr>
        <a:xfrm>
          <a:off x="5172075" y="20583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6</xdr:col>
      <xdr:colOff>38100</xdr:colOff>
      <xdr:row>85</xdr:row>
      <xdr:rowOff>0</xdr:rowOff>
    </xdr:from>
    <xdr:to>
      <xdr:col>6</xdr:col>
      <xdr:colOff>314325</xdr:colOff>
      <xdr:row>85</xdr:row>
      <xdr:rowOff>0</xdr:rowOff>
    </xdr:to>
    <xdr:sp>
      <xdr:nvSpPr>
        <xdr:cNvPr id="9" name="Rectangle 9"/>
        <xdr:cNvSpPr>
          <a:spLocks/>
        </xdr:cNvSpPr>
      </xdr:nvSpPr>
      <xdr:spPr>
        <a:xfrm>
          <a:off x="6238875" y="20583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7</xdr:col>
      <xdr:colOff>19050</xdr:colOff>
      <xdr:row>85</xdr:row>
      <xdr:rowOff>0</xdr:rowOff>
    </xdr:from>
    <xdr:to>
      <xdr:col>7</xdr:col>
      <xdr:colOff>314325</xdr:colOff>
      <xdr:row>85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7239000" y="20583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9</xdr:col>
      <xdr:colOff>19050</xdr:colOff>
      <xdr:row>85</xdr:row>
      <xdr:rowOff>0</xdr:rowOff>
    </xdr:from>
    <xdr:to>
      <xdr:col>9</xdr:col>
      <xdr:colOff>314325</xdr:colOff>
      <xdr:row>85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8382000" y="20583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22</xdr:col>
      <xdr:colOff>504825</xdr:colOff>
      <xdr:row>22</xdr:row>
      <xdr:rowOff>0</xdr:rowOff>
    </xdr:from>
    <xdr:to>
      <xdr:col>23</xdr:col>
      <xdr:colOff>133350</xdr:colOff>
      <xdr:row>23</xdr:row>
      <xdr:rowOff>9525</xdr:rowOff>
    </xdr:to>
    <xdr:sp>
      <xdr:nvSpPr>
        <xdr:cNvPr id="12" name="Rectangle 12"/>
        <xdr:cNvSpPr>
          <a:spLocks/>
        </xdr:cNvSpPr>
      </xdr:nvSpPr>
      <xdr:spPr>
        <a:xfrm flipH="1">
          <a:off x="16078200" y="5600700"/>
          <a:ext cx="38100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38100</xdr:colOff>
      <xdr:row>147</xdr:row>
      <xdr:rowOff>0</xdr:rowOff>
    </xdr:from>
    <xdr:to>
      <xdr:col>6</xdr:col>
      <xdr:colOff>314325</xdr:colOff>
      <xdr:row>147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6238875" y="3299460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19050</xdr:colOff>
      <xdr:row>147</xdr:row>
      <xdr:rowOff>0</xdr:rowOff>
    </xdr:from>
    <xdr:to>
      <xdr:col>8</xdr:col>
      <xdr:colOff>47625</xdr:colOff>
      <xdr:row>147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8362950" y="32994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147</xdr:row>
      <xdr:rowOff>0</xdr:rowOff>
    </xdr:from>
    <xdr:to>
      <xdr:col>10</xdr:col>
      <xdr:colOff>314325</xdr:colOff>
      <xdr:row>147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9153525" y="3299460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147</xdr:row>
      <xdr:rowOff>0</xdr:rowOff>
    </xdr:from>
    <xdr:to>
      <xdr:col>12</xdr:col>
      <xdr:colOff>66675</xdr:colOff>
      <xdr:row>147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0125075" y="32994600"/>
          <a:ext cx="4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19050</xdr:colOff>
      <xdr:row>147</xdr:row>
      <xdr:rowOff>0</xdr:rowOff>
    </xdr:from>
    <xdr:to>
      <xdr:col>14</xdr:col>
      <xdr:colOff>66675</xdr:colOff>
      <xdr:row>147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10944225" y="32994600"/>
          <a:ext cx="4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152</xdr:row>
      <xdr:rowOff>0</xdr:rowOff>
    </xdr:from>
    <xdr:to>
      <xdr:col>8</xdr:col>
      <xdr:colOff>47625</xdr:colOff>
      <xdr:row>152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8362950" y="3399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19050</xdr:colOff>
      <xdr:row>152</xdr:row>
      <xdr:rowOff>0</xdr:rowOff>
    </xdr:from>
    <xdr:to>
      <xdr:col>10</xdr:col>
      <xdr:colOff>314325</xdr:colOff>
      <xdr:row>152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9134475" y="339947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38100</xdr:colOff>
      <xdr:row>152</xdr:row>
      <xdr:rowOff>0</xdr:rowOff>
    </xdr:from>
    <xdr:to>
      <xdr:col>12</xdr:col>
      <xdr:colOff>66675</xdr:colOff>
      <xdr:row>152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10144125" y="339947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19050</xdr:colOff>
      <xdr:row>152</xdr:row>
      <xdr:rowOff>0</xdr:rowOff>
    </xdr:from>
    <xdr:to>
      <xdr:col>14</xdr:col>
      <xdr:colOff>66675</xdr:colOff>
      <xdr:row>152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10944225" y="33994725"/>
          <a:ext cx="4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16</xdr:col>
      <xdr:colOff>19050</xdr:colOff>
      <xdr:row>152</xdr:row>
      <xdr:rowOff>0</xdr:rowOff>
    </xdr:from>
    <xdr:to>
      <xdr:col>16</xdr:col>
      <xdr:colOff>66675</xdr:colOff>
      <xdr:row>152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11763375" y="33994725"/>
          <a:ext cx="4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147</xdr:row>
      <xdr:rowOff>0</xdr:rowOff>
    </xdr:from>
    <xdr:to>
      <xdr:col>8</xdr:col>
      <xdr:colOff>47625</xdr:colOff>
      <xdr:row>147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8362950" y="32994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19050</xdr:colOff>
      <xdr:row>147</xdr:row>
      <xdr:rowOff>0</xdr:rowOff>
    </xdr:from>
    <xdr:to>
      <xdr:col>10</xdr:col>
      <xdr:colOff>314325</xdr:colOff>
      <xdr:row>147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9134475" y="3299460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38100</xdr:colOff>
      <xdr:row>147</xdr:row>
      <xdr:rowOff>0</xdr:rowOff>
    </xdr:from>
    <xdr:to>
      <xdr:col>12</xdr:col>
      <xdr:colOff>66675</xdr:colOff>
      <xdr:row>147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10144125" y="329946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19050</xdr:colOff>
      <xdr:row>147</xdr:row>
      <xdr:rowOff>0</xdr:rowOff>
    </xdr:from>
    <xdr:to>
      <xdr:col>14</xdr:col>
      <xdr:colOff>66675</xdr:colOff>
      <xdr:row>147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10944225" y="32994600"/>
          <a:ext cx="4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16</xdr:col>
      <xdr:colOff>19050</xdr:colOff>
      <xdr:row>147</xdr:row>
      <xdr:rowOff>0</xdr:rowOff>
    </xdr:from>
    <xdr:to>
      <xdr:col>16</xdr:col>
      <xdr:colOff>66675</xdr:colOff>
      <xdr:row>147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11763375" y="32994600"/>
          <a:ext cx="4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2</xdr:col>
      <xdr:colOff>2428875</xdr:colOff>
      <xdr:row>32</xdr:row>
      <xdr:rowOff>104775</xdr:rowOff>
    </xdr:from>
    <xdr:to>
      <xdr:col>2</xdr:col>
      <xdr:colOff>2552700</xdr:colOff>
      <xdr:row>32</xdr:row>
      <xdr:rowOff>219075</xdr:rowOff>
    </xdr:to>
    <xdr:sp>
      <xdr:nvSpPr>
        <xdr:cNvPr id="28" name="AutoShape 28"/>
        <xdr:cNvSpPr>
          <a:spLocks/>
        </xdr:cNvSpPr>
      </xdr:nvSpPr>
      <xdr:spPr>
        <a:xfrm>
          <a:off x="2819400" y="7829550"/>
          <a:ext cx="123825" cy="11430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2428875</xdr:colOff>
      <xdr:row>33</xdr:row>
      <xdr:rowOff>104775</xdr:rowOff>
    </xdr:from>
    <xdr:to>
      <xdr:col>2</xdr:col>
      <xdr:colOff>2552700</xdr:colOff>
      <xdr:row>33</xdr:row>
      <xdr:rowOff>219075</xdr:rowOff>
    </xdr:to>
    <xdr:sp>
      <xdr:nvSpPr>
        <xdr:cNvPr id="29" name="AutoShape 29"/>
        <xdr:cNvSpPr>
          <a:spLocks/>
        </xdr:cNvSpPr>
      </xdr:nvSpPr>
      <xdr:spPr>
        <a:xfrm>
          <a:off x="2819400" y="8134350"/>
          <a:ext cx="123825" cy="11430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2428875</xdr:colOff>
      <xdr:row>34</xdr:row>
      <xdr:rowOff>104775</xdr:rowOff>
    </xdr:from>
    <xdr:to>
      <xdr:col>2</xdr:col>
      <xdr:colOff>2552700</xdr:colOff>
      <xdr:row>34</xdr:row>
      <xdr:rowOff>219075</xdr:rowOff>
    </xdr:to>
    <xdr:sp>
      <xdr:nvSpPr>
        <xdr:cNvPr id="30" name="AutoShape 30"/>
        <xdr:cNvSpPr>
          <a:spLocks/>
        </xdr:cNvSpPr>
      </xdr:nvSpPr>
      <xdr:spPr>
        <a:xfrm>
          <a:off x="2819400" y="8439150"/>
          <a:ext cx="123825" cy="11430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2409825</xdr:colOff>
      <xdr:row>36</xdr:row>
      <xdr:rowOff>76200</xdr:rowOff>
    </xdr:from>
    <xdr:to>
      <xdr:col>2</xdr:col>
      <xdr:colOff>2533650</xdr:colOff>
      <xdr:row>36</xdr:row>
      <xdr:rowOff>190500</xdr:rowOff>
    </xdr:to>
    <xdr:sp>
      <xdr:nvSpPr>
        <xdr:cNvPr id="31" name="AutoShape 31"/>
        <xdr:cNvSpPr>
          <a:spLocks/>
        </xdr:cNvSpPr>
      </xdr:nvSpPr>
      <xdr:spPr>
        <a:xfrm>
          <a:off x="2800350" y="8972550"/>
          <a:ext cx="123825" cy="11430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57</xdr:row>
      <xdr:rowOff>9525</xdr:rowOff>
    </xdr:from>
    <xdr:to>
      <xdr:col>12</xdr:col>
      <xdr:colOff>381000</xdr:colOff>
      <xdr:row>57</xdr:row>
      <xdr:rowOff>200025</xdr:rowOff>
    </xdr:to>
    <xdr:sp>
      <xdr:nvSpPr>
        <xdr:cNvPr id="1" name="Rectangle 1"/>
        <xdr:cNvSpPr>
          <a:spLocks/>
        </xdr:cNvSpPr>
      </xdr:nvSpPr>
      <xdr:spPr>
        <a:xfrm>
          <a:off x="7867650" y="12496800"/>
          <a:ext cx="2952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128</xdr:row>
      <xdr:rowOff>0</xdr:rowOff>
    </xdr:from>
    <xdr:to>
      <xdr:col>10</xdr:col>
      <xdr:colOff>314325</xdr:colOff>
      <xdr:row>128</xdr:row>
      <xdr:rowOff>0</xdr:rowOff>
    </xdr:to>
    <xdr:sp>
      <xdr:nvSpPr>
        <xdr:cNvPr id="2" name="Rectangle 2"/>
        <xdr:cNvSpPr>
          <a:spLocks/>
        </xdr:cNvSpPr>
      </xdr:nvSpPr>
      <xdr:spPr>
        <a:xfrm>
          <a:off x="6905625" y="240506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128</xdr:row>
      <xdr:rowOff>0</xdr:rowOff>
    </xdr:from>
    <xdr:to>
      <xdr:col>12</xdr:col>
      <xdr:colOff>314325</xdr:colOff>
      <xdr:row>128</xdr:row>
      <xdr:rowOff>0</xdr:rowOff>
    </xdr:to>
    <xdr:sp>
      <xdr:nvSpPr>
        <xdr:cNvPr id="3" name="Rectangle 3"/>
        <xdr:cNvSpPr>
          <a:spLocks/>
        </xdr:cNvSpPr>
      </xdr:nvSpPr>
      <xdr:spPr>
        <a:xfrm>
          <a:off x="7800975" y="240506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38100</xdr:colOff>
      <xdr:row>128</xdr:row>
      <xdr:rowOff>0</xdr:rowOff>
    </xdr:from>
    <xdr:to>
      <xdr:col>14</xdr:col>
      <xdr:colOff>314325</xdr:colOff>
      <xdr:row>128</xdr:row>
      <xdr:rowOff>0</xdr:rowOff>
    </xdr:to>
    <xdr:sp>
      <xdr:nvSpPr>
        <xdr:cNvPr id="4" name="Rectangle 4"/>
        <xdr:cNvSpPr>
          <a:spLocks/>
        </xdr:cNvSpPr>
      </xdr:nvSpPr>
      <xdr:spPr>
        <a:xfrm>
          <a:off x="8782050" y="240506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16</xdr:col>
      <xdr:colOff>19050</xdr:colOff>
      <xdr:row>128</xdr:row>
      <xdr:rowOff>0</xdr:rowOff>
    </xdr:from>
    <xdr:to>
      <xdr:col>16</xdr:col>
      <xdr:colOff>314325</xdr:colOff>
      <xdr:row>128</xdr:row>
      <xdr:rowOff>0</xdr:rowOff>
    </xdr:to>
    <xdr:sp>
      <xdr:nvSpPr>
        <xdr:cNvPr id="5" name="Rectangle 5"/>
        <xdr:cNvSpPr>
          <a:spLocks/>
        </xdr:cNvSpPr>
      </xdr:nvSpPr>
      <xdr:spPr>
        <a:xfrm>
          <a:off x="9477375" y="240506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18</xdr:col>
      <xdr:colOff>0</xdr:colOff>
      <xdr:row>128</xdr:row>
      <xdr:rowOff>0</xdr:rowOff>
    </xdr:from>
    <xdr:to>
      <xdr:col>18</xdr:col>
      <xdr:colOff>0</xdr:colOff>
      <xdr:row>128</xdr:row>
      <xdr:rowOff>0</xdr:rowOff>
    </xdr:to>
    <xdr:sp>
      <xdr:nvSpPr>
        <xdr:cNvPr id="6" name="Rectangle 6"/>
        <xdr:cNvSpPr>
          <a:spLocks/>
        </xdr:cNvSpPr>
      </xdr:nvSpPr>
      <xdr:spPr>
        <a:xfrm>
          <a:off x="10763250" y="24050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104775</xdr:colOff>
      <xdr:row>57</xdr:row>
      <xdr:rowOff>9525</xdr:rowOff>
    </xdr:from>
    <xdr:to>
      <xdr:col>8</xdr:col>
      <xdr:colOff>419100</xdr:colOff>
      <xdr:row>57</xdr:row>
      <xdr:rowOff>190500</xdr:rowOff>
    </xdr:to>
    <xdr:sp>
      <xdr:nvSpPr>
        <xdr:cNvPr id="7" name="Rectangle 7"/>
        <xdr:cNvSpPr>
          <a:spLocks/>
        </xdr:cNvSpPr>
      </xdr:nvSpPr>
      <xdr:spPr>
        <a:xfrm>
          <a:off x="6057900" y="12496800"/>
          <a:ext cx="3143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123825</xdr:colOff>
      <xdr:row>57</xdr:row>
      <xdr:rowOff>9525</xdr:rowOff>
    </xdr:from>
    <xdr:to>
      <xdr:col>10</xdr:col>
      <xdr:colOff>419100</xdr:colOff>
      <xdr:row>57</xdr:row>
      <xdr:rowOff>200025</xdr:rowOff>
    </xdr:to>
    <xdr:sp>
      <xdr:nvSpPr>
        <xdr:cNvPr id="8" name="Rectangle 8"/>
        <xdr:cNvSpPr>
          <a:spLocks/>
        </xdr:cNvSpPr>
      </xdr:nvSpPr>
      <xdr:spPr>
        <a:xfrm>
          <a:off x="6991350" y="12496800"/>
          <a:ext cx="2952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24</xdr:col>
      <xdr:colOff>0</xdr:colOff>
      <xdr:row>61</xdr:row>
      <xdr:rowOff>171450</xdr:rowOff>
    </xdr:from>
    <xdr:to>
      <xdr:col>24</xdr:col>
      <xdr:colOff>0</xdr:colOff>
      <xdr:row>64</xdr:row>
      <xdr:rowOff>28575</xdr:rowOff>
    </xdr:to>
    <xdr:sp>
      <xdr:nvSpPr>
        <xdr:cNvPr id="9" name="Rectangle 9"/>
        <xdr:cNvSpPr>
          <a:spLocks/>
        </xdr:cNvSpPr>
      </xdr:nvSpPr>
      <xdr:spPr>
        <a:xfrm flipH="1">
          <a:off x="13201650" y="136588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152400</xdr:colOff>
      <xdr:row>57</xdr:row>
      <xdr:rowOff>9525</xdr:rowOff>
    </xdr:from>
    <xdr:to>
      <xdr:col>16</xdr:col>
      <xdr:colOff>457200</xdr:colOff>
      <xdr:row>57</xdr:row>
      <xdr:rowOff>200025</xdr:rowOff>
    </xdr:to>
    <xdr:sp>
      <xdr:nvSpPr>
        <xdr:cNvPr id="10" name="Rectangle 10"/>
        <xdr:cNvSpPr>
          <a:spLocks/>
        </xdr:cNvSpPr>
      </xdr:nvSpPr>
      <xdr:spPr>
        <a:xfrm>
          <a:off x="9610725" y="12496800"/>
          <a:ext cx="3048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18</xdr:col>
      <xdr:colOff>0</xdr:colOff>
      <xdr:row>57</xdr:row>
      <xdr:rowOff>9525</xdr:rowOff>
    </xdr:from>
    <xdr:to>
      <xdr:col>18</xdr:col>
      <xdr:colOff>0</xdr:colOff>
      <xdr:row>57</xdr:row>
      <xdr:rowOff>209550</xdr:rowOff>
    </xdr:to>
    <xdr:sp>
      <xdr:nvSpPr>
        <xdr:cNvPr id="11" name="Rectangle 11"/>
        <xdr:cNvSpPr>
          <a:spLocks/>
        </xdr:cNvSpPr>
      </xdr:nvSpPr>
      <xdr:spPr>
        <a:xfrm>
          <a:off x="10763250" y="12496800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128</xdr:row>
      <xdr:rowOff>0</xdr:rowOff>
    </xdr:from>
    <xdr:to>
      <xdr:col>10</xdr:col>
      <xdr:colOff>314325</xdr:colOff>
      <xdr:row>128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6905625" y="240506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128</xdr:row>
      <xdr:rowOff>0</xdr:rowOff>
    </xdr:from>
    <xdr:to>
      <xdr:col>12</xdr:col>
      <xdr:colOff>314325</xdr:colOff>
      <xdr:row>128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7800975" y="240506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38100</xdr:colOff>
      <xdr:row>128</xdr:row>
      <xdr:rowOff>0</xdr:rowOff>
    </xdr:from>
    <xdr:to>
      <xdr:col>14</xdr:col>
      <xdr:colOff>314325</xdr:colOff>
      <xdr:row>128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8782050" y="240506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16</xdr:col>
      <xdr:colOff>19050</xdr:colOff>
      <xdr:row>128</xdr:row>
      <xdr:rowOff>0</xdr:rowOff>
    </xdr:from>
    <xdr:to>
      <xdr:col>16</xdr:col>
      <xdr:colOff>314325</xdr:colOff>
      <xdr:row>128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9477375" y="240506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18</xdr:col>
      <xdr:colOff>0</xdr:colOff>
      <xdr:row>128</xdr:row>
      <xdr:rowOff>0</xdr:rowOff>
    </xdr:from>
    <xdr:to>
      <xdr:col>18</xdr:col>
      <xdr:colOff>0</xdr:colOff>
      <xdr:row>128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0763250" y="24050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18</xdr:col>
      <xdr:colOff>0</xdr:colOff>
      <xdr:row>57</xdr:row>
      <xdr:rowOff>9525</xdr:rowOff>
    </xdr:from>
    <xdr:to>
      <xdr:col>18</xdr:col>
      <xdr:colOff>0</xdr:colOff>
      <xdr:row>57</xdr:row>
      <xdr:rowOff>209550</xdr:rowOff>
    </xdr:to>
    <xdr:sp>
      <xdr:nvSpPr>
        <xdr:cNvPr id="17" name="Rectangle 17"/>
        <xdr:cNvSpPr>
          <a:spLocks/>
        </xdr:cNvSpPr>
      </xdr:nvSpPr>
      <xdr:spPr>
        <a:xfrm>
          <a:off x="10763250" y="12496800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18</xdr:col>
      <xdr:colOff>0</xdr:colOff>
      <xdr:row>57</xdr:row>
      <xdr:rowOff>9525</xdr:rowOff>
    </xdr:from>
    <xdr:to>
      <xdr:col>18</xdr:col>
      <xdr:colOff>0</xdr:colOff>
      <xdr:row>58</xdr:row>
      <xdr:rowOff>9525</xdr:rowOff>
    </xdr:to>
    <xdr:sp>
      <xdr:nvSpPr>
        <xdr:cNvPr id="18" name="Rectangle 18"/>
        <xdr:cNvSpPr>
          <a:spLocks/>
        </xdr:cNvSpPr>
      </xdr:nvSpPr>
      <xdr:spPr>
        <a:xfrm>
          <a:off x="10763250" y="12496800"/>
          <a:ext cx="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18</xdr:col>
      <xdr:colOff>0</xdr:colOff>
      <xdr:row>57</xdr:row>
      <xdr:rowOff>9525</xdr:rowOff>
    </xdr:from>
    <xdr:to>
      <xdr:col>18</xdr:col>
      <xdr:colOff>0</xdr:colOff>
      <xdr:row>57</xdr:row>
      <xdr:rowOff>209550</xdr:rowOff>
    </xdr:to>
    <xdr:sp>
      <xdr:nvSpPr>
        <xdr:cNvPr id="19" name="Rectangle 19"/>
        <xdr:cNvSpPr>
          <a:spLocks/>
        </xdr:cNvSpPr>
      </xdr:nvSpPr>
      <xdr:spPr>
        <a:xfrm>
          <a:off x="10763250" y="12496800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128</xdr:row>
      <xdr:rowOff>0</xdr:rowOff>
    </xdr:from>
    <xdr:to>
      <xdr:col>8</xdr:col>
      <xdr:colOff>314325</xdr:colOff>
      <xdr:row>128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5991225" y="240506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19050</xdr:colOff>
      <xdr:row>128</xdr:row>
      <xdr:rowOff>0</xdr:rowOff>
    </xdr:from>
    <xdr:to>
      <xdr:col>10</xdr:col>
      <xdr:colOff>314325</xdr:colOff>
      <xdr:row>128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6886575" y="240506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38100</xdr:colOff>
      <xdr:row>128</xdr:row>
      <xdr:rowOff>0</xdr:rowOff>
    </xdr:from>
    <xdr:to>
      <xdr:col>12</xdr:col>
      <xdr:colOff>314325</xdr:colOff>
      <xdr:row>128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7820025" y="240506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19050</xdr:colOff>
      <xdr:row>128</xdr:row>
      <xdr:rowOff>0</xdr:rowOff>
    </xdr:from>
    <xdr:to>
      <xdr:col>14</xdr:col>
      <xdr:colOff>314325</xdr:colOff>
      <xdr:row>128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8763000" y="240506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16</xdr:col>
      <xdr:colOff>19050</xdr:colOff>
      <xdr:row>128</xdr:row>
      <xdr:rowOff>0</xdr:rowOff>
    </xdr:from>
    <xdr:to>
      <xdr:col>16</xdr:col>
      <xdr:colOff>314325</xdr:colOff>
      <xdr:row>128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9477375" y="240506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128</xdr:row>
      <xdr:rowOff>0</xdr:rowOff>
    </xdr:from>
    <xdr:to>
      <xdr:col>8</xdr:col>
      <xdr:colOff>314325</xdr:colOff>
      <xdr:row>128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5991225" y="240506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19050</xdr:colOff>
      <xdr:row>128</xdr:row>
      <xdr:rowOff>0</xdr:rowOff>
    </xdr:from>
    <xdr:to>
      <xdr:col>10</xdr:col>
      <xdr:colOff>314325</xdr:colOff>
      <xdr:row>128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6886575" y="240506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38100</xdr:colOff>
      <xdr:row>128</xdr:row>
      <xdr:rowOff>0</xdr:rowOff>
    </xdr:from>
    <xdr:to>
      <xdr:col>12</xdr:col>
      <xdr:colOff>314325</xdr:colOff>
      <xdr:row>128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7820025" y="240506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19050</xdr:colOff>
      <xdr:row>128</xdr:row>
      <xdr:rowOff>0</xdr:rowOff>
    </xdr:from>
    <xdr:to>
      <xdr:col>14</xdr:col>
      <xdr:colOff>314325</xdr:colOff>
      <xdr:row>128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8763000" y="240506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16</xdr:col>
      <xdr:colOff>19050</xdr:colOff>
      <xdr:row>128</xdr:row>
      <xdr:rowOff>0</xdr:rowOff>
    </xdr:from>
    <xdr:to>
      <xdr:col>16</xdr:col>
      <xdr:colOff>314325</xdr:colOff>
      <xdr:row>128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9477375" y="240506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130</xdr:row>
      <xdr:rowOff>0</xdr:rowOff>
    </xdr:from>
    <xdr:to>
      <xdr:col>8</xdr:col>
      <xdr:colOff>314325</xdr:colOff>
      <xdr:row>130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5991225" y="244030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19050</xdr:colOff>
      <xdr:row>130</xdr:row>
      <xdr:rowOff>0</xdr:rowOff>
    </xdr:from>
    <xdr:to>
      <xdr:col>10</xdr:col>
      <xdr:colOff>314325</xdr:colOff>
      <xdr:row>130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6886575" y="244030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128</xdr:row>
      <xdr:rowOff>0</xdr:rowOff>
    </xdr:from>
    <xdr:to>
      <xdr:col>8</xdr:col>
      <xdr:colOff>314325</xdr:colOff>
      <xdr:row>128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5991225" y="240506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19050</xdr:colOff>
      <xdr:row>128</xdr:row>
      <xdr:rowOff>0</xdr:rowOff>
    </xdr:from>
    <xdr:to>
      <xdr:col>10</xdr:col>
      <xdr:colOff>314325</xdr:colOff>
      <xdr:row>128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6886575" y="240506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128</xdr:row>
      <xdr:rowOff>0</xdr:rowOff>
    </xdr:from>
    <xdr:to>
      <xdr:col>10</xdr:col>
      <xdr:colOff>314325</xdr:colOff>
      <xdr:row>128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6905625" y="240506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128</xdr:row>
      <xdr:rowOff>0</xdr:rowOff>
    </xdr:from>
    <xdr:to>
      <xdr:col>12</xdr:col>
      <xdr:colOff>314325</xdr:colOff>
      <xdr:row>128</xdr:row>
      <xdr:rowOff>0</xdr:rowOff>
    </xdr:to>
    <xdr:sp>
      <xdr:nvSpPr>
        <xdr:cNvPr id="35" name="Rectangle 35"/>
        <xdr:cNvSpPr>
          <a:spLocks/>
        </xdr:cNvSpPr>
      </xdr:nvSpPr>
      <xdr:spPr>
        <a:xfrm>
          <a:off x="7800975" y="240506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38100</xdr:colOff>
      <xdr:row>128</xdr:row>
      <xdr:rowOff>0</xdr:rowOff>
    </xdr:from>
    <xdr:to>
      <xdr:col>14</xdr:col>
      <xdr:colOff>314325</xdr:colOff>
      <xdr:row>128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8782050" y="240506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16</xdr:col>
      <xdr:colOff>19050</xdr:colOff>
      <xdr:row>128</xdr:row>
      <xdr:rowOff>0</xdr:rowOff>
    </xdr:from>
    <xdr:to>
      <xdr:col>16</xdr:col>
      <xdr:colOff>314325</xdr:colOff>
      <xdr:row>128</xdr:row>
      <xdr:rowOff>0</xdr:rowOff>
    </xdr:to>
    <xdr:sp>
      <xdr:nvSpPr>
        <xdr:cNvPr id="37" name="Rectangle 37"/>
        <xdr:cNvSpPr>
          <a:spLocks/>
        </xdr:cNvSpPr>
      </xdr:nvSpPr>
      <xdr:spPr>
        <a:xfrm>
          <a:off x="9477375" y="240506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18</xdr:col>
      <xdr:colOff>0</xdr:colOff>
      <xdr:row>128</xdr:row>
      <xdr:rowOff>0</xdr:rowOff>
    </xdr:from>
    <xdr:to>
      <xdr:col>18</xdr:col>
      <xdr:colOff>0</xdr:colOff>
      <xdr:row>128</xdr:row>
      <xdr:rowOff>0</xdr:rowOff>
    </xdr:to>
    <xdr:sp>
      <xdr:nvSpPr>
        <xdr:cNvPr id="38" name="Rectangle 38"/>
        <xdr:cNvSpPr>
          <a:spLocks/>
        </xdr:cNvSpPr>
      </xdr:nvSpPr>
      <xdr:spPr>
        <a:xfrm>
          <a:off x="10763250" y="24050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24</xdr:col>
      <xdr:colOff>0</xdr:colOff>
      <xdr:row>59</xdr:row>
      <xdr:rowOff>171450</xdr:rowOff>
    </xdr:from>
    <xdr:to>
      <xdr:col>24</xdr:col>
      <xdr:colOff>0</xdr:colOff>
      <xdr:row>61</xdr:row>
      <xdr:rowOff>28575</xdr:rowOff>
    </xdr:to>
    <xdr:sp>
      <xdr:nvSpPr>
        <xdr:cNvPr id="39" name="Rectangle 39"/>
        <xdr:cNvSpPr>
          <a:spLocks/>
        </xdr:cNvSpPr>
      </xdr:nvSpPr>
      <xdr:spPr>
        <a:xfrm flipH="1">
          <a:off x="13201650" y="13173075"/>
          <a:ext cx="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38100</xdr:colOff>
      <xdr:row>128</xdr:row>
      <xdr:rowOff>0</xdr:rowOff>
    </xdr:from>
    <xdr:to>
      <xdr:col>6</xdr:col>
      <xdr:colOff>314325</xdr:colOff>
      <xdr:row>128</xdr:row>
      <xdr:rowOff>0</xdr:rowOff>
    </xdr:to>
    <xdr:sp>
      <xdr:nvSpPr>
        <xdr:cNvPr id="40" name="Rectangle 40"/>
        <xdr:cNvSpPr>
          <a:spLocks/>
        </xdr:cNvSpPr>
      </xdr:nvSpPr>
      <xdr:spPr>
        <a:xfrm>
          <a:off x="5076825" y="240506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128</xdr:row>
      <xdr:rowOff>0</xdr:rowOff>
    </xdr:from>
    <xdr:to>
      <xdr:col>12</xdr:col>
      <xdr:colOff>314325</xdr:colOff>
      <xdr:row>128</xdr:row>
      <xdr:rowOff>0</xdr:rowOff>
    </xdr:to>
    <xdr:sp>
      <xdr:nvSpPr>
        <xdr:cNvPr id="41" name="Rectangle 41"/>
        <xdr:cNvSpPr>
          <a:spLocks/>
        </xdr:cNvSpPr>
      </xdr:nvSpPr>
      <xdr:spPr>
        <a:xfrm>
          <a:off x="7800975" y="240506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38100</xdr:colOff>
      <xdr:row>128</xdr:row>
      <xdr:rowOff>0</xdr:rowOff>
    </xdr:from>
    <xdr:to>
      <xdr:col>14</xdr:col>
      <xdr:colOff>314325</xdr:colOff>
      <xdr:row>128</xdr:row>
      <xdr:rowOff>0</xdr:rowOff>
    </xdr:to>
    <xdr:sp>
      <xdr:nvSpPr>
        <xdr:cNvPr id="42" name="Rectangle 42"/>
        <xdr:cNvSpPr>
          <a:spLocks/>
        </xdr:cNvSpPr>
      </xdr:nvSpPr>
      <xdr:spPr>
        <a:xfrm>
          <a:off x="8782050" y="240506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16</xdr:col>
      <xdr:colOff>19050</xdr:colOff>
      <xdr:row>128</xdr:row>
      <xdr:rowOff>0</xdr:rowOff>
    </xdr:from>
    <xdr:to>
      <xdr:col>16</xdr:col>
      <xdr:colOff>314325</xdr:colOff>
      <xdr:row>128</xdr:row>
      <xdr:rowOff>0</xdr:rowOff>
    </xdr:to>
    <xdr:sp>
      <xdr:nvSpPr>
        <xdr:cNvPr id="43" name="Rectangle 43"/>
        <xdr:cNvSpPr>
          <a:spLocks/>
        </xdr:cNvSpPr>
      </xdr:nvSpPr>
      <xdr:spPr>
        <a:xfrm>
          <a:off x="9477375" y="240506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18</xdr:col>
      <xdr:colOff>0</xdr:colOff>
      <xdr:row>128</xdr:row>
      <xdr:rowOff>0</xdr:rowOff>
    </xdr:from>
    <xdr:to>
      <xdr:col>18</xdr:col>
      <xdr:colOff>0</xdr:colOff>
      <xdr:row>128</xdr:row>
      <xdr:rowOff>0</xdr:rowOff>
    </xdr:to>
    <xdr:sp>
      <xdr:nvSpPr>
        <xdr:cNvPr id="44" name="Rectangle 44"/>
        <xdr:cNvSpPr>
          <a:spLocks/>
        </xdr:cNvSpPr>
      </xdr:nvSpPr>
      <xdr:spPr>
        <a:xfrm>
          <a:off x="10763250" y="24050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130</xdr:row>
      <xdr:rowOff>0</xdr:rowOff>
    </xdr:from>
    <xdr:to>
      <xdr:col>10</xdr:col>
      <xdr:colOff>314325</xdr:colOff>
      <xdr:row>130</xdr:row>
      <xdr:rowOff>0</xdr:rowOff>
    </xdr:to>
    <xdr:sp>
      <xdr:nvSpPr>
        <xdr:cNvPr id="45" name="Rectangle 45"/>
        <xdr:cNvSpPr>
          <a:spLocks/>
        </xdr:cNvSpPr>
      </xdr:nvSpPr>
      <xdr:spPr>
        <a:xfrm>
          <a:off x="6905625" y="244030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19050</xdr:colOff>
      <xdr:row>128</xdr:row>
      <xdr:rowOff>0</xdr:rowOff>
    </xdr:from>
    <xdr:to>
      <xdr:col>8</xdr:col>
      <xdr:colOff>314325</xdr:colOff>
      <xdr:row>128</xdr:row>
      <xdr:rowOff>0</xdr:rowOff>
    </xdr:to>
    <xdr:sp>
      <xdr:nvSpPr>
        <xdr:cNvPr id="46" name="Rectangle 46"/>
        <xdr:cNvSpPr>
          <a:spLocks/>
        </xdr:cNvSpPr>
      </xdr:nvSpPr>
      <xdr:spPr>
        <a:xfrm>
          <a:off x="5972175" y="240506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128</xdr:row>
      <xdr:rowOff>0</xdr:rowOff>
    </xdr:from>
    <xdr:to>
      <xdr:col>10</xdr:col>
      <xdr:colOff>314325</xdr:colOff>
      <xdr:row>128</xdr:row>
      <xdr:rowOff>0</xdr:rowOff>
    </xdr:to>
    <xdr:sp>
      <xdr:nvSpPr>
        <xdr:cNvPr id="47" name="Rectangle 47"/>
        <xdr:cNvSpPr>
          <a:spLocks/>
        </xdr:cNvSpPr>
      </xdr:nvSpPr>
      <xdr:spPr>
        <a:xfrm>
          <a:off x="6905625" y="240506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19050</xdr:colOff>
      <xdr:row>128</xdr:row>
      <xdr:rowOff>0</xdr:rowOff>
    </xdr:from>
    <xdr:to>
      <xdr:col>14</xdr:col>
      <xdr:colOff>314325</xdr:colOff>
      <xdr:row>128</xdr:row>
      <xdr:rowOff>0</xdr:rowOff>
    </xdr:to>
    <xdr:sp>
      <xdr:nvSpPr>
        <xdr:cNvPr id="48" name="Rectangle 48"/>
        <xdr:cNvSpPr>
          <a:spLocks/>
        </xdr:cNvSpPr>
      </xdr:nvSpPr>
      <xdr:spPr>
        <a:xfrm>
          <a:off x="8763000" y="240506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18</xdr:col>
      <xdr:colOff>0</xdr:colOff>
      <xdr:row>130</xdr:row>
      <xdr:rowOff>0</xdr:rowOff>
    </xdr:from>
    <xdr:to>
      <xdr:col>18</xdr:col>
      <xdr:colOff>0</xdr:colOff>
      <xdr:row>130</xdr:row>
      <xdr:rowOff>0</xdr:rowOff>
    </xdr:to>
    <xdr:sp>
      <xdr:nvSpPr>
        <xdr:cNvPr id="49" name="Rectangle 49"/>
        <xdr:cNvSpPr>
          <a:spLocks/>
        </xdr:cNvSpPr>
      </xdr:nvSpPr>
      <xdr:spPr>
        <a:xfrm>
          <a:off x="10763250" y="24403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24</xdr:col>
      <xdr:colOff>0</xdr:colOff>
      <xdr:row>61</xdr:row>
      <xdr:rowOff>171450</xdr:rowOff>
    </xdr:from>
    <xdr:to>
      <xdr:col>24</xdr:col>
      <xdr:colOff>0</xdr:colOff>
      <xdr:row>64</xdr:row>
      <xdr:rowOff>28575</xdr:rowOff>
    </xdr:to>
    <xdr:sp>
      <xdr:nvSpPr>
        <xdr:cNvPr id="50" name="Rectangle 50"/>
        <xdr:cNvSpPr>
          <a:spLocks/>
        </xdr:cNvSpPr>
      </xdr:nvSpPr>
      <xdr:spPr>
        <a:xfrm flipH="1">
          <a:off x="13201650" y="136588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18</xdr:col>
      <xdr:colOff>0</xdr:colOff>
      <xdr:row>57</xdr:row>
      <xdr:rowOff>9525</xdr:rowOff>
    </xdr:from>
    <xdr:to>
      <xdr:col>18</xdr:col>
      <xdr:colOff>0</xdr:colOff>
      <xdr:row>57</xdr:row>
      <xdr:rowOff>209550</xdr:rowOff>
    </xdr:to>
    <xdr:sp>
      <xdr:nvSpPr>
        <xdr:cNvPr id="51" name="Rectangle 51"/>
        <xdr:cNvSpPr>
          <a:spLocks/>
        </xdr:cNvSpPr>
      </xdr:nvSpPr>
      <xdr:spPr>
        <a:xfrm>
          <a:off x="10763250" y="12496800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128</xdr:row>
      <xdr:rowOff>0</xdr:rowOff>
    </xdr:from>
    <xdr:to>
      <xdr:col>10</xdr:col>
      <xdr:colOff>314325</xdr:colOff>
      <xdr:row>128</xdr:row>
      <xdr:rowOff>0</xdr:rowOff>
    </xdr:to>
    <xdr:sp>
      <xdr:nvSpPr>
        <xdr:cNvPr id="52" name="Rectangle 52"/>
        <xdr:cNvSpPr>
          <a:spLocks/>
        </xdr:cNvSpPr>
      </xdr:nvSpPr>
      <xdr:spPr>
        <a:xfrm>
          <a:off x="6905625" y="240506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128</xdr:row>
      <xdr:rowOff>0</xdr:rowOff>
    </xdr:from>
    <xdr:to>
      <xdr:col>12</xdr:col>
      <xdr:colOff>314325</xdr:colOff>
      <xdr:row>128</xdr:row>
      <xdr:rowOff>0</xdr:rowOff>
    </xdr:to>
    <xdr:sp>
      <xdr:nvSpPr>
        <xdr:cNvPr id="53" name="Rectangle 53"/>
        <xdr:cNvSpPr>
          <a:spLocks/>
        </xdr:cNvSpPr>
      </xdr:nvSpPr>
      <xdr:spPr>
        <a:xfrm>
          <a:off x="7800975" y="240506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38100</xdr:colOff>
      <xdr:row>128</xdr:row>
      <xdr:rowOff>0</xdr:rowOff>
    </xdr:from>
    <xdr:to>
      <xdr:col>14</xdr:col>
      <xdr:colOff>314325</xdr:colOff>
      <xdr:row>128</xdr:row>
      <xdr:rowOff>0</xdr:rowOff>
    </xdr:to>
    <xdr:sp>
      <xdr:nvSpPr>
        <xdr:cNvPr id="54" name="Rectangle 54"/>
        <xdr:cNvSpPr>
          <a:spLocks/>
        </xdr:cNvSpPr>
      </xdr:nvSpPr>
      <xdr:spPr>
        <a:xfrm>
          <a:off x="8782050" y="240506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16</xdr:col>
      <xdr:colOff>19050</xdr:colOff>
      <xdr:row>128</xdr:row>
      <xdr:rowOff>0</xdr:rowOff>
    </xdr:from>
    <xdr:to>
      <xdr:col>16</xdr:col>
      <xdr:colOff>314325</xdr:colOff>
      <xdr:row>128</xdr:row>
      <xdr:rowOff>0</xdr:rowOff>
    </xdr:to>
    <xdr:sp>
      <xdr:nvSpPr>
        <xdr:cNvPr id="55" name="Rectangle 55"/>
        <xdr:cNvSpPr>
          <a:spLocks/>
        </xdr:cNvSpPr>
      </xdr:nvSpPr>
      <xdr:spPr>
        <a:xfrm>
          <a:off x="9477375" y="240506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18</xdr:col>
      <xdr:colOff>0</xdr:colOff>
      <xdr:row>128</xdr:row>
      <xdr:rowOff>0</xdr:rowOff>
    </xdr:from>
    <xdr:to>
      <xdr:col>18</xdr:col>
      <xdr:colOff>0</xdr:colOff>
      <xdr:row>128</xdr:row>
      <xdr:rowOff>0</xdr:rowOff>
    </xdr:to>
    <xdr:sp>
      <xdr:nvSpPr>
        <xdr:cNvPr id="56" name="Rectangle 56"/>
        <xdr:cNvSpPr>
          <a:spLocks/>
        </xdr:cNvSpPr>
      </xdr:nvSpPr>
      <xdr:spPr>
        <a:xfrm>
          <a:off x="10763250" y="24050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18</xdr:col>
      <xdr:colOff>0</xdr:colOff>
      <xdr:row>57</xdr:row>
      <xdr:rowOff>9525</xdr:rowOff>
    </xdr:from>
    <xdr:to>
      <xdr:col>18</xdr:col>
      <xdr:colOff>0</xdr:colOff>
      <xdr:row>57</xdr:row>
      <xdr:rowOff>209550</xdr:rowOff>
    </xdr:to>
    <xdr:sp>
      <xdr:nvSpPr>
        <xdr:cNvPr id="57" name="Rectangle 57"/>
        <xdr:cNvSpPr>
          <a:spLocks/>
        </xdr:cNvSpPr>
      </xdr:nvSpPr>
      <xdr:spPr>
        <a:xfrm>
          <a:off x="10763250" y="12496800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18</xdr:col>
      <xdr:colOff>0</xdr:colOff>
      <xdr:row>57</xdr:row>
      <xdr:rowOff>9525</xdr:rowOff>
    </xdr:from>
    <xdr:to>
      <xdr:col>18</xdr:col>
      <xdr:colOff>0</xdr:colOff>
      <xdr:row>58</xdr:row>
      <xdr:rowOff>9525</xdr:rowOff>
    </xdr:to>
    <xdr:sp>
      <xdr:nvSpPr>
        <xdr:cNvPr id="58" name="Rectangle 58"/>
        <xdr:cNvSpPr>
          <a:spLocks/>
        </xdr:cNvSpPr>
      </xdr:nvSpPr>
      <xdr:spPr>
        <a:xfrm>
          <a:off x="10763250" y="12496800"/>
          <a:ext cx="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/>
          </a:r>
        </a:p>
      </xdr:txBody>
    </xdr:sp>
    <xdr:clientData/>
  </xdr:twoCellAnchor>
  <xdr:twoCellAnchor>
    <xdr:from>
      <xdr:col>18</xdr:col>
      <xdr:colOff>0</xdr:colOff>
      <xdr:row>57</xdr:row>
      <xdr:rowOff>9525</xdr:rowOff>
    </xdr:from>
    <xdr:to>
      <xdr:col>18</xdr:col>
      <xdr:colOff>0</xdr:colOff>
      <xdr:row>57</xdr:row>
      <xdr:rowOff>209550</xdr:rowOff>
    </xdr:to>
    <xdr:sp>
      <xdr:nvSpPr>
        <xdr:cNvPr id="59" name="Rectangle 59"/>
        <xdr:cNvSpPr>
          <a:spLocks/>
        </xdr:cNvSpPr>
      </xdr:nvSpPr>
      <xdr:spPr>
        <a:xfrm>
          <a:off x="10763250" y="12496800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128</xdr:row>
      <xdr:rowOff>0</xdr:rowOff>
    </xdr:from>
    <xdr:to>
      <xdr:col>8</xdr:col>
      <xdr:colOff>314325</xdr:colOff>
      <xdr:row>128</xdr:row>
      <xdr:rowOff>0</xdr:rowOff>
    </xdr:to>
    <xdr:sp>
      <xdr:nvSpPr>
        <xdr:cNvPr id="60" name="Rectangle 60"/>
        <xdr:cNvSpPr>
          <a:spLocks/>
        </xdr:cNvSpPr>
      </xdr:nvSpPr>
      <xdr:spPr>
        <a:xfrm>
          <a:off x="5991225" y="240506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19050</xdr:colOff>
      <xdr:row>128</xdr:row>
      <xdr:rowOff>0</xdr:rowOff>
    </xdr:from>
    <xdr:to>
      <xdr:col>10</xdr:col>
      <xdr:colOff>314325</xdr:colOff>
      <xdr:row>128</xdr:row>
      <xdr:rowOff>0</xdr:rowOff>
    </xdr:to>
    <xdr:sp>
      <xdr:nvSpPr>
        <xdr:cNvPr id="61" name="Rectangle 61"/>
        <xdr:cNvSpPr>
          <a:spLocks/>
        </xdr:cNvSpPr>
      </xdr:nvSpPr>
      <xdr:spPr>
        <a:xfrm>
          <a:off x="6886575" y="240506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38100</xdr:colOff>
      <xdr:row>128</xdr:row>
      <xdr:rowOff>0</xdr:rowOff>
    </xdr:from>
    <xdr:to>
      <xdr:col>12</xdr:col>
      <xdr:colOff>314325</xdr:colOff>
      <xdr:row>128</xdr:row>
      <xdr:rowOff>0</xdr:rowOff>
    </xdr:to>
    <xdr:sp>
      <xdr:nvSpPr>
        <xdr:cNvPr id="62" name="Rectangle 62"/>
        <xdr:cNvSpPr>
          <a:spLocks/>
        </xdr:cNvSpPr>
      </xdr:nvSpPr>
      <xdr:spPr>
        <a:xfrm>
          <a:off x="7820025" y="240506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19050</xdr:colOff>
      <xdr:row>128</xdr:row>
      <xdr:rowOff>0</xdr:rowOff>
    </xdr:from>
    <xdr:to>
      <xdr:col>14</xdr:col>
      <xdr:colOff>314325</xdr:colOff>
      <xdr:row>128</xdr:row>
      <xdr:rowOff>0</xdr:rowOff>
    </xdr:to>
    <xdr:sp>
      <xdr:nvSpPr>
        <xdr:cNvPr id="63" name="Rectangle 63"/>
        <xdr:cNvSpPr>
          <a:spLocks/>
        </xdr:cNvSpPr>
      </xdr:nvSpPr>
      <xdr:spPr>
        <a:xfrm>
          <a:off x="8763000" y="240506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16</xdr:col>
      <xdr:colOff>19050</xdr:colOff>
      <xdr:row>128</xdr:row>
      <xdr:rowOff>0</xdr:rowOff>
    </xdr:from>
    <xdr:to>
      <xdr:col>16</xdr:col>
      <xdr:colOff>314325</xdr:colOff>
      <xdr:row>128</xdr:row>
      <xdr:rowOff>0</xdr:rowOff>
    </xdr:to>
    <xdr:sp>
      <xdr:nvSpPr>
        <xdr:cNvPr id="64" name="Rectangle 64"/>
        <xdr:cNvSpPr>
          <a:spLocks/>
        </xdr:cNvSpPr>
      </xdr:nvSpPr>
      <xdr:spPr>
        <a:xfrm>
          <a:off x="9477375" y="240506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128</xdr:row>
      <xdr:rowOff>0</xdr:rowOff>
    </xdr:from>
    <xdr:to>
      <xdr:col>8</xdr:col>
      <xdr:colOff>314325</xdr:colOff>
      <xdr:row>128</xdr:row>
      <xdr:rowOff>0</xdr:rowOff>
    </xdr:to>
    <xdr:sp>
      <xdr:nvSpPr>
        <xdr:cNvPr id="65" name="Rectangle 65"/>
        <xdr:cNvSpPr>
          <a:spLocks/>
        </xdr:cNvSpPr>
      </xdr:nvSpPr>
      <xdr:spPr>
        <a:xfrm>
          <a:off x="5991225" y="240506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19050</xdr:colOff>
      <xdr:row>128</xdr:row>
      <xdr:rowOff>0</xdr:rowOff>
    </xdr:from>
    <xdr:to>
      <xdr:col>10</xdr:col>
      <xdr:colOff>314325</xdr:colOff>
      <xdr:row>128</xdr:row>
      <xdr:rowOff>0</xdr:rowOff>
    </xdr:to>
    <xdr:sp>
      <xdr:nvSpPr>
        <xdr:cNvPr id="66" name="Rectangle 66"/>
        <xdr:cNvSpPr>
          <a:spLocks/>
        </xdr:cNvSpPr>
      </xdr:nvSpPr>
      <xdr:spPr>
        <a:xfrm>
          <a:off x="6886575" y="240506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38100</xdr:colOff>
      <xdr:row>128</xdr:row>
      <xdr:rowOff>0</xdr:rowOff>
    </xdr:from>
    <xdr:to>
      <xdr:col>12</xdr:col>
      <xdr:colOff>314325</xdr:colOff>
      <xdr:row>128</xdr:row>
      <xdr:rowOff>0</xdr:rowOff>
    </xdr:to>
    <xdr:sp>
      <xdr:nvSpPr>
        <xdr:cNvPr id="67" name="Rectangle 67"/>
        <xdr:cNvSpPr>
          <a:spLocks/>
        </xdr:cNvSpPr>
      </xdr:nvSpPr>
      <xdr:spPr>
        <a:xfrm>
          <a:off x="7820025" y="240506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19050</xdr:colOff>
      <xdr:row>128</xdr:row>
      <xdr:rowOff>0</xdr:rowOff>
    </xdr:from>
    <xdr:to>
      <xdr:col>14</xdr:col>
      <xdr:colOff>314325</xdr:colOff>
      <xdr:row>128</xdr:row>
      <xdr:rowOff>0</xdr:rowOff>
    </xdr:to>
    <xdr:sp>
      <xdr:nvSpPr>
        <xdr:cNvPr id="68" name="Rectangle 68"/>
        <xdr:cNvSpPr>
          <a:spLocks/>
        </xdr:cNvSpPr>
      </xdr:nvSpPr>
      <xdr:spPr>
        <a:xfrm>
          <a:off x="8763000" y="240506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16</xdr:col>
      <xdr:colOff>19050</xdr:colOff>
      <xdr:row>128</xdr:row>
      <xdr:rowOff>0</xdr:rowOff>
    </xdr:from>
    <xdr:to>
      <xdr:col>16</xdr:col>
      <xdr:colOff>314325</xdr:colOff>
      <xdr:row>128</xdr:row>
      <xdr:rowOff>0</xdr:rowOff>
    </xdr:to>
    <xdr:sp>
      <xdr:nvSpPr>
        <xdr:cNvPr id="69" name="Rectangle 69"/>
        <xdr:cNvSpPr>
          <a:spLocks/>
        </xdr:cNvSpPr>
      </xdr:nvSpPr>
      <xdr:spPr>
        <a:xfrm>
          <a:off x="9477375" y="240506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130</xdr:row>
      <xdr:rowOff>0</xdr:rowOff>
    </xdr:from>
    <xdr:to>
      <xdr:col>8</xdr:col>
      <xdr:colOff>314325</xdr:colOff>
      <xdr:row>130</xdr:row>
      <xdr:rowOff>0</xdr:rowOff>
    </xdr:to>
    <xdr:sp>
      <xdr:nvSpPr>
        <xdr:cNvPr id="70" name="Rectangle 70"/>
        <xdr:cNvSpPr>
          <a:spLocks/>
        </xdr:cNvSpPr>
      </xdr:nvSpPr>
      <xdr:spPr>
        <a:xfrm>
          <a:off x="5991225" y="244030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19050</xdr:colOff>
      <xdr:row>130</xdr:row>
      <xdr:rowOff>0</xdr:rowOff>
    </xdr:from>
    <xdr:to>
      <xdr:col>10</xdr:col>
      <xdr:colOff>314325</xdr:colOff>
      <xdr:row>130</xdr:row>
      <xdr:rowOff>0</xdr:rowOff>
    </xdr:to>
    <xdr:sp>
      <xdr:nvSpPr>
        <xdr:cNvPr id="71" name="Rectangle 71"/>
        <xdr:cNvSpPr>
          <a:spLocks/>
        </xdr:cNvSpPr>
      </xdr:nvSpPr>
      <xdr:spPr>
        <a:xfrm>
          <a:off x="6886575" y="244030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38100</xdr:colOff>
      <xdr:row>130</xdr:row>
      <xdr:rowOff>0</xdr:rowOff>
    </xdr:from>
    <xdr:to>
      <xdr:col>12</xdr:col>
      <xdr:colOff>314325</xdr:colOff>
      <xdr:row>130</xdr:row>
      <xdr:rowOff>0</xdr:rowOff>
    </xdr:to>
    <xdr:sp>
      <xdr:nvSpPr>
        <xdr:cNvPr id="72" name="Rectangle 72"/>
        <xdr:cNvSpPr>
          <a:spLocks/>
        </xdr:cNvSpPr>
      </xdr:nvSpPr>
      <xdr:spPr>
        <a:xfrm>
          <a:off x="7820025" y="244030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19050</xdr:colOff>
      <xdr:row>130</xdr:row>
      <xdr:rowOff>0</xdr:rowOff>
    </xdr:from>
    <xdr:to>
      <xdr:col>14</xdr:col>
      <xdr:colOff>314325</xdr:colOff>
      <xdr:row>130</xdr:row>
      <xdr:rowOff>0</xdr:rowOff>
    </xdr:to>
    <xdr:sp>
      <xdr:nvSpPr>
        <xdr:cNvPr id="73" name="Rectangle 73"/>
        <xdr:cNvSpPr>
          <a:spLocks/>
        </xdr:cNvSpPr>
      </xdr:nvSpPr>
      <xdr:spPr>
        <a:xfrm>
          <a:off x="8763000" y="244030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128</xdr:row>
      <xdr:rowOff>0</xdr:rowOff>
    </xdr:from>
    <xdr:to>
      <xdr:col>10</xdr:col>
      <xdr:colOff>314325</xdr:colOff>
      <xdr:row>128</xdr:row>
      <xdr:rowOff>0</xdr:rowOff>
    </xdr:to>
    <xdr:sp>
      <xdr:nvSpPr>
        <xdr:cNvPr id="74" name="Rectangle 74"/>
        <xdr:cNvSpPr>
          <a:spLocks/>
        </xdr:cNvSpPr>
      </xdr:nvSpPr>
      <xdr:spPr>
        <a:xfrm>
          <a:off x="6905625" y="240506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128</xdr:row>
      <xdr:rowOff>0</xdr:rowOff>
    </xdr:from>
    <xdr:to>
      <xdr:col>12</xdr:col>
      <xdr:colOff>314325</xdr:colOff>
      <xdr:row>128</xdr:row>
      <xdr:rowOff>0</xdr:rowOff>
    </xdr:to>
    <xdr:sp>
      <xdr:nvSpPr>
        <xdr:cNvPr id="75" name="Rectangle 75"/>
        <xdr:cNvSpPr>
          <a:spLocks/>
        </xdr:cNvSpPr>
      </xdr:nvSpPr>
      <xdr:spPr>
        <a:xfrm>
          <a:off x="7800975" y="240506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38100</xdr:colOff>
      <xdr:row>128</xdr:row>
      <xdr:rowOff>0</xdr:rowOff>
    </xdr:from>
    <xdr:to>
      <xdr:col>14</xdr:col>
      <xdr:colOff>314325</xdr:colOff>
      <xdr:row>128</xdr:row>
      <xdr:rowOff>0</xdr:rowOff>
    </xdr:to>
    <xdr:sp>
      <xdr:nvSpPr>
        <xdr:cNvPr id="76" name="Rectangle 76"/>
        <xdr:cNvSpPr>
          <a:spLocks/>
        </xdr:cNvSpPr>
      </xdr:nvSpPr>
      <xdr:spPr>
        <a:xfrm>
          <a:off x="8782050" y="240506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16</xdr:col>
      <xdr:colOff>19050</xdr:colOff>
      <xdr:row>128</xdr:row>
      <xdr:rowOff>0</xdr:rowOff>
    </xdr:from>
    <xdr:to>
      <xdr:col>16</xdr:col>
      <xdr:colOff>314325</xdr:colOff>
      <xdr:row>128</xdr:row>
      <xdr:rowOff>0</xdr:rowOff>
    </xdr:to>
    <xdr:sp>
      <xdr:nvSpPr>
        <xdr:cNvPr id="77" name="Rectangle 77"/>
        <xdr:cNvSpPr>
          <a:spLocks/>
        </xdr:cNvSpPr>
      </xdr:nvSpPr>
      <xdr:spPr>
        <a:xfrm>
          <a:off x="9477375" y="240506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18</xdr:col>
      <xdr:colOff>0</xdr:colOff>
      <xdr:row>128</xdr:row>
      <xdr:rowOff>0</xdr:rowOff>
    </xdr:from>
    <xdr:to>
      <xdr:col>18</xdr:col>
      <xdr:colOff>0</xdr:colOff>
      <xdr:row>128</xdr:row>
      <xdr:rowOff>0</xdr:rowOff>
    </xdr:to>
    <xdr:sp>
      <xdr:nvSpPr>
        <xdr:cNvPr id="78" name="Rectangle 78"/>
        <xdr:cNvSpPr>
          <a:spLocks/>
        </xdr:cNvSpPr>
      </xdr:nvSpPr>
      <xdr:spPr>
        <a:xfrm>
          <a:off x="10763250" y="24050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24</xdr:col>
      <xdr:colOff>0</xdr:colOff>
      <xdr:row>59</xdr:row>
      <xdr:rowOff>171450</xdr:rowOff>
    </xdr:from>
    <xdr:to>
      <xdr:col>24</xdr:col>
      <xdr:colOff>0</xdr:colOff>
      <xdr:row>61</xdr:row>
      <xdr:rowOff>28575</xdr:rowOff>
    </xdr:to>
    <xdr:sp>
      <xdr:nvSpPr>
        <xdr:cNvPr id="79" name="Rectangle 79"/>
        <xdr:cNvSpPr>
          <a:spLocks/>
        </xdr:cNvSpPr>
      </xdr:nvSpPr>
      <xdr:spPr>
        <a:xfrm flipH="1">
          <a:off x="13201650" y="13173075"/>
          <a:ext cx="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38100</xdr:colOff>
      <xdr:row>128</xdr:row>
      <xdr:rowOff>0</xdr:rowOff>
    </xdr:from>
    <xdr:to>
      <xdr:col>10</xdr:col>
      <xdr:colOff>314325</xdr:colOff>
      <xdr:row>128</xdr:row>
      <xdr:rowOff>0</xdr:rowOff>
    </xdr:to>
    <xdr:sp>
      <xdr:nvSpPr>
        <xdr:cNvPr id="80" name="Rectangle 80"/>
        <xdr:cNvSpPr>
          <a:spLocks/>
        </xdr:cNvSpPr>
      </xdr:nvSpPr>
      <xdr:spPr>
        <a:xfrm>
          <a:off x="6905625" y="240506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128</xdr:row>
      <xdr:rowOff>0</xdr:rowOff>
    </xdr:from>
    <xdr:to>
      <xdr:col>12</xdr:col>
      <xdr:colOff>314325</xdr:colOff>
      <xdr:row>128</xdr:row>
      <xdr:rowOff>0</xdr:rowOff>
    </xdr:to>
    <xdr:sp>
      <xdr:nvSpPr>
        <xdr:cNvPr id="81" name="Rectangle 81"/>
        <xdr:cNvSpPr>
          <a:spLocks/>
        </xdr:cNvSpPr>
      </xdr:nvSpPr>
      <xdr:spPr>
        <a:xfrm>
          <a:off x="7800975" y="240506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38100</xdr:colOff>
      <xdr:row>128</xdr:row>
      <xdr:rowOff>0</xdr:rowOff>
    </xdr:from>
    <xdr:to>
      <xdr:col>14</xdr:col>
      <xdr:colOff>314325</xdr:colOff>
      <xdr:row>128</xdr:row>
      <xdr:rowOff>0</xdr:rowOff>
    </xdr:to>
    <xdr:sp>
      <xdr:nvSpPr>
        <xdr:cNvPr id="82" name="Rectangle 82"/>
        <xdr:cNvSpPr>
          <a:spLocks/>
        </xdr:cNvSpPr>
      </xdr:nvSpPr>
      <xdr:spPr>
        <a:xfrm>
          <a:off x="8782050" y="240506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16</xdr:col>
      <xdr:colOff>19050</xdr:colOff>
      <xdr:row>128</xdr:row>
      <xdr:rowOff>0</xdr:rowOff>
    </xdr:from>
    <xdr:to>
      <xdr:col>16</xdr:col>
      <xdr:colOff>314325</xdr:colOff>
      <xdr:row>128</xdr:row>
      <xdr:rowOff>0</xdr:rowOff>
    </xdr:to>
    <xdr:sp>
      <xdr:nvSpPr>
        <xdr:cNvPr id="83" name="Rectangle 83"/>
        <xdr:cNvSpPr>
          <a:spLocks/>
        </xdr:cNvSpPr>
      </xdr:nvSpPr>
      <xdr:spPr>
        <a:xfrm>
          <a:off x="9477375" y="240506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18</xdr:col>
      <xdr:colOff>0</xdr:colOff>
      <xdr:row>128</xdr:row>
      <xdr:rowOff>0</xdr:rowOff>
    </xdr:from>
    <xdr:to>
      <xdr:col>18</xdr:col>
      <xdr:colOff>0</xdr:colOff>
      <xdr:row>128</xdr:row>
      <xdr:rowOff>0</xdr:rowOff>
    </xdr:to>
    <xdr:sp>
      <xdr:nvSpPr>
        <xdr:cNvPr id="84" name="Rectangle 84"/>
        <xdr:cNvSpPr>
          <a:spLocks/>
        </xdr:cNvSpPr>
      </xdr:nvSpPr>
      <xdr:spPr>
        <a:xfrm>
          <a:off x="10763250" y="24050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130</xdr:row>
      <xdr:rowOff>0</xdr:rowOff>
    </xdr:from>
    <xdr:to>
      <xdr:col>10</xdr:col>
      <xdr:colOff>314325</xdr:colOff>
      <xdr:row>130</xdr:row>
      <xdr:rowOff>0</xdr:rowOff>
    </xdr:to>
    <xdr:sp>
      <xdr:nvSpPr>
        <xdr:cNvPr id="85" name="Rectangle 85"/>
        <xdr:cNvSpPr>
          <a:spLocks/>
        </xdr:cNvSpPr>
      </xdr:nvSpPr>
      <xdr:spPr>
        <a:xfrm>
          <a:off x="6905625" y="244030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130</xdr:row>
      <xdr:rowOff>0</xdr:rowOff>
    </xdr:from>
    <xdr:to>
      <xdr:col>12</xdr:col>
      <xdr:colOff>314325</xdr:colOff>
      <xdr:row>130</xdr:row>
      <xdr:rowOff>0</xdr:rowOff>
    </xdr:to>
    <xdr:sp>
      <xdr:nvSpPr>
        <xdr:cNvPr id="86" name="Rectangle 86"/>
        <xdr:cNvSpPr>
          <a:spLocks/>
        </xdr:cNvSpPr>
      </xdr:nvSpPr>
      <xdr:spPr>
        <a:xfrm>
          <a:off x="7800975" y="244030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38100</xdr:colOff>
      <xdr:row>130</xdr:row>
      <xdr:rowOff>0</xdr:rowOff>
    </xdr:from>
    <xdr:to>
      <xdr:col>14</xdr:col>
      <xdr:colOff>314325</xdr:colOff>
      <xdr:row>130</xdr:row>
      <xdr:rowOff>0</xdr:rowOff>
    </xdr:to>
    <xdr:sp>
      <xdr:nvSpPr>
        <xdr:cNvPr id="87" name="Rectangle 87"/>
        <xdr:cNvSpPr>
          <a:spLocks/>
        </xdr:cNvSpPr>
      </xdr:nvSpPr>
      <xdr:spPr>
        <a:xfrm>
          <a:off x="8782050" y="244030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16</xdr:col>
      <xdr:colOff>19050</xdr:colOff>
      <xdr:row>130</xdr:row>
      <xdr:rowOff>0</xdr:rowOff>
    </xdr:from>
    <xdr:to>
      <xdr:col>16</xdr:col>
      <xdr:colOff>314325</xdr:colOff>
      <xdr:row>130</xdr:row>
      <xdr:rowOff>0</xdr:rowOff>
    </xdr:to>
    <xdr:sp>
      <xdr:nvSpPr>
        <xdr:cNvPr id="88" name="Rectangle 88"/>
        <xdr:cNvSpPr>
          <a:spLocks/>
        </xdr:cNvSpPr>
      </xdr:nvSpPr>
      <xdr:spPr>
        <a:xfrm>
          <a:off x="9477375" y="244030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18</xdr:col>
      <xdr:colOff>0</xdr:colOff>
      <xdr:row>130</xdr:row>
      <xdr:rowOff>0</xdr:rowOff>
    </xdr:from>
    <xdr:to>
      <xdr:col>18</xdr:col>
      <xdr:colOff>0</xdr:colOff>
      <xdr:row>130</xdr:row>
      <xdr:rowOff>0</xdr:rowOff>
    </xdr:to>
    <xdr:sp>
      <xdr:nvSpPr>
        <xdr:cNvPr id="89" name="Rectangle 89"/>
        <xdr:cNvSpPr>
          <a:spLocks/>
        </xdr:cNvSpPr>
      </xdr:nvSpPr>
      <xdr:spPr>
        <a:xfrm>
          <a:off x="10763250" y="24403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24</xdr:col>
      <xdr:colOff>0</xdr:colOff>
      <xdr:row>61</xdr:row>
      <xdr:rowOff>171450</xdr:rowOff>
    </xdr:from>
    <xdr:to>
      <xdr:col>24</xdr:col>
      <xdr:colOff>0</xdr:colOff>
      <xdr:row>64</xdr:row>
      <xdr:rowOff>28575</xdr:rowOff>
    </xdr:to>
    <xdr:sp>
      <xdr:nvSpPr>
        <xdr:cNvPr id="90" name="Rectangle 90"/>
        <xdr:cNvSpPr>
          <a:spLocks/>
        </xdr:cNvSpPr>
      </xdr:nvSpPr>
      <xdr:spPr>
        <a:xfrm flipH="1">
          <a:off x="13201650" y="136588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38100</xdr:colOff>
      <xdr:row>128</xdr:row>
      <xdr:rowOff>0</xdr:rowOff>
    </xdr:from>
    <xdr:to>
      <xdr:col>10</xdr:col>
      <xdr:colOff>314325</xdr:colOff>
      <xdr:row>128</xdr:row>
      <xdr:rowOff>0</xdr:rowOff>
    </xdr:to>
    <xdr:sp>
      <xdr:nvSpPr>
        <xdr:cNvPr id="91" name="Rectangle 91"/>
        <xdr:cNvSpPr>
          <a:spLocks/>
        </xdr:cNvSpPr>
      </xdr:nvSpPr>
      <xdr:spPr>
        <a:xfrm>
          <a:off x="6905625" y="240506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128</xdr:row>
      <xdr:rowOff>0</xdr:rowOff>
    </xdr:from>
    <xdr:to>
      <xdr:col>12</xdr:col>
      <xdr:colOff>314325</xdr:colOff>
      <xdr:row>128</xdr:row>
      <xdr:rowOff>0</xdr:rowOff>
    </xdr:to>
    <xdr:sp>
      <xdr:nvSpPr>
        <xdr:cNvPr id="92" name="Rectangle 92"/>
        <xdr:cNvSpPr>
          <a:spLocks/>
        </xdr:cNvSpPr>
      </xdr:nvSpPr>
      <xdr:spPr>
        <a:xfrm>
          <a:off x="7800975" y="240506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38100</xdr:colOff>
      <xdr:row>128</xdr:row>
      <xdr:rowOff>0</xdr:rowOff>
    </xdr:from>
    <xdr:to>
      <xdr:col>14</xdr:col>
      <xdr:colOff>314325</xdr:colOff>
      <xdr:row>128</xdr:row>
      <xdr:rowOff>0</xdr:rowOff>
    </xdr:to>
    <xdr:sp>
      <xdr:nvSpPr>
        <xdr:cNvPr id="93" name="Rectangle 93"/>
        <xdr:cNvSpPr>
          <a:spLocks/>
        </xdr:cNvSpPr>
      </xdr:nvSpPr>
      <xdr:spPr>
        <a:xfrm>
          <a:off x="8782050" y="240506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16</xdr:col>
      <xdr:colOff>19050</xdr:colOff>
      <xdr:row>128</xdr:row>
      <xdr:rowOff>0</xdr:rowOff>
    </xdr:from>
    <xdr:to>
      <xdr:col>16</xdr:col>
      <xdr:colOff>314325</xdr:colOff>
      <xdr:row>128</xdr:row>
      <xdr:rowOff>0</xdr:rowOff>
    </xdr:to>
    <xdr:sp>
      <xdr:nvSpPr>
        <xdr:cNvPr id="94" name="Rectangle 94"/>
        <xdr:cNvSpPr>
          <a:spLocks/>
        </xdr:cNvSpPr>
      </xdr:nvSpPr>
      <xdr:spPr>
        <a:xfrm>
          <a:off x="9477375" y="240506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18</xdr:col>
      <xdr:colOff>0</xdr:colOff>
      <xdr:row>128</xdr:row>
      <xdr:rowOff>0</xdr:rowOff>
    </xdr:from>
    <xdr:to>
      <xdr:col>18</xdr:col>
      <xdr:colOff>0</xdr:colOff>
      <xdr:row>128</xdr:row>
      <xdr:rowOff>0</xdr:rowOff>
    </xdr:to>
    <xdr:sp>
      <xdr:nvSpPr>
        <xdr:cNvPr id="95" name="Rectangle 95"/>
        <xdr:cNvSpPr>
          <a:spLocks/>
        </xdr:cNvSpPr>
      </xdr:nvSpPr>
      <xdr:spPr>
        <a:xfrm>
          <a:off x="10763250" y="24050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18</xdr:col>
      <xdr:colOff>0</xdr:colOff>
      <xdr:row>57</xdr:row>
      <xdr:rowOff>9525</xdr:rowOff>
    </xdr:from>
    <xdr:to>
      <xdr:col>18</xdr:col>
      <xdr:colOff>0</xdr:colOff>
      <xdr:row>57</xdr:row>
      <xdr:rowOff>209550</xdr:rowOff>
    </xdr:to>
    <xdr:sp>
      <xdr:nvSpPr>
        <xdr:cNvPr id="96" name="Rectangle 96"/>
        <xdr:cNvSpPr>
          <a:spLocks/>
        </xdr:cNvSpPr>
      </xdr:nvSpPr>
      <xdr:spPr>
        <a:xfrm>
          <a:off x="10763250" y="12496800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18</xdr:col>
      <xdr:colOff>0</xdr:colOff>
      <xdr:row>57</xdr:row>
      <xdr:rowOff>9525</xdr:rowOff>
    </xdr:from>
    <xdr:to>
      <xdr:col>18</xdr:col>
      <xdr:colOff>0</xdr:colOff>
      <xdr:row>58</xdr:row>
      <xdr:rowOff>9525</xdr:rowOff>
    </xdr:to>
    <xdr:sp>
      <xdr:nvSpPr>
        <xdr:cNvPr id="97" name="Rectangle 97"/>
        <xdr:cNvSpPr>
          <a:spLocks/>
        </xdr:cNvSpPr>
      </xdr:nvSpPr>
      <xdr:spPr>
        <a:xfrm>
          <a:off x="10763250" y="12496800"/>
          <a:ext cx="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/>
          </a:r>
        </a:p>
      </xdr:txBody>
    </xdr:sp>
    <xdr:clientData/>
  </xdr:twoCellAnchor>
  <xdr:twoCellAnchor>
    <xdr:from>
      <xdr:col>8</xdr:col>
      <xdr:colOff>123825</xdr:colOff>
      <xdr:row>128</xdr:row>
      <xdr:rowOff>0</xdr:rowOff>
    </xdr:from>
    <xdr:to>
      <xdr:col>8</xdr:col>
      <xdr:colOff>400050</xdr:colOff>
      <xdr:row>128</xdr:row>
      <xdr:rowOff>0</xdr:rowOff>
    </xdr:to>
    <xdr:sp>
      <xdr:nvSpPr>
        <xdr:cNvPr id="98" name="Rectangle 98"/>
        <xdr:cNvSpPr>
          <a:spLocks/>
        </xdr:cNvSpPr>
      </xdr:nvSpPr>
      <xdr:spPr>
        <a:xfrm>
          <a:off x="6076950" y="240506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85725</xdr:colOff>
      <xdr:row>128</xdr:row>
      <xdr:rowOff>0</xdr:rowOff>
    </xdr:from>
    <xdr:to>
      <xdr:col>10</xdr:col>
      <xdr:colOff>409575</xdr:colOff>
      <xdr:row>128</xdr:row>
      <xdr:rowOff>0</xdr:rowOff>
    </xdr:to>
    <xdr:sp>
      <xdr:nvSpPr>
        <xdr:cNvPr id="99" name="Rectangle 99"/>
        <xdr:cNvSpPr>
          <a:spLocks/>
        </xdr:cNvSpPr>
      </xdr:nvSpPr>
      <xdr:spPr>
        <a:xfrm>
          <a:off x="6953250" y="24050625"/>
          <a:ext cx="323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128</xdr:row>
      <xdr:rowOff>0</xdr:rowOff>
    </xdr:from>
    <xdr:to>
      <xdr:col>8</xdr:col>
      <xdr:colOff>381000</xdr:colOff>
      <xdr:row>128</xdr:row>
      <xdr:rowOff>0</xdr:rowOff>
    </xdr:to>
    <xdr:sp>
      <xdr:nvSpPr>
        <xdr:cNvPr id="100" name="Rectangle 100"/>
        <xdr:cNvSpPr>
          <a:spLocks/>
        </xdr:cNvSpPr>
      </xdr:nvSpPr>
      <xdr:spPr>
        <a:xfrm>
          <a:off x="5991225" y="24050625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</a:p>
      </xdr:txBody>
    </xdr:sp>
    <xdr:clientData/>
  </xdr:twoCellAnchor>
  <xdr:twoCellAnchor>
    <xdr:from>
      <xdr:col>0</xdr:col>
      <xdr:colOff>190500</xdr:colOff>
      <xdr:row>64</xdr:row>
      <xdr:rowOff>85725</xdr:rowOff>
    </xdr:from>
    <xdr:to>
      <xdr:col>0</xdr:col>
      <xdr:colOff>295275</xdr:colOff>
      <xdr:row>64</xdr:row>
      <xdr:rowOff>200025</xdr:rowOff>
    </xdr:to>
    <xdr:sp>
      <xdr:nvSpPr>
        <xdr:cNvPr id="101" name="AutoShape 101"/>
        <xdr:cNvSpPr>
          <a:spLocks/>
        </xdr:cNvSpPr>
      </xdr:nvSpPr>
      <xdr:spPr>
        <a:xfrm flipV="1">
          <a:off x="190500" y="13820775"/>
          <a:ext cx="104775" cy="0"/>
        </a:xfrm>
        <a:prstGeom prst="star5">
          <a:avLst/>
        </a:prstGeom>
        <a:solidFill>
          <a:srgbClr val="0000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123825</xdr:colOff>
      <xdr:row>128</xdr:row>
      <xdr:rowOff>0</xdr:rowOff>
    </xdr:from>
    <xdr:to>
      <xdr:col>8</xdr:col>
      <xdr:colOff>400050</xdr:colOff>
      <xdr:row>128</xdr:row>
      <xdr:rowOff>0</xdr:rowOff>
    </xdr:to>
    <xdr:sp>
      <xdr:nvSpPr>
        <xdr:cNvPr id="102" name="Rectangle 102"/>
        <xdr:cNvSpPr>
          <a:spLocks/>
        </xdr:cNvSpPr>
      </xdr:nvSpPr>
      <xdr:spPr>
        <a:xfrm>
          <a:off x="6076950" y="240506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128</xdr:row>
      <xdr:rowOff>0</xdr:rowOff>
    </xdr:from>
    <xdr:to>
      <xdr:col>8</xdr:col>
      <xdr:colOff>381000</xdr:colOff>
      <xdr:row>128</xdr:row>
      <xdr:rowOff>0</xdr:rowOff>
    </xdr:to>
    <xdr:sp>
      <xdr:nvSpPr>
        <xdr:cNvPr id="103" name="Rectangle 103"/>
        <xdr:cNvSpPr>
          <a:spLocks/>
        </xdr:cNvSpPr>
      </xdr:nvSpPr>
      <xdr:spPr>
        <a:xfrm>
          <a:off x="5991225" y="24050625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</a:p>
      </xdr:txBody>
    </xdr:sp>
    <xdr:clientData/>
  </xdr:twoCellAnchor>
  <xdr:twoCellAnchor>
    <xdr:from>
      <xdr:col>8</xdr:col>
      <xdr:colOff>123825</xdr:colOff>
      <xdr:row>128</xdr:row>
      <xdr:rowOff>0</xdr:rowOff>
    </xdr:from>
    <xdr:to>
      <xdr:col>8</xdr:col>
      <xdr:colOff>400050</xdr:colOff>
      <xdr:row>128</xdr:row>
      <xdr:rowOff>0</xdr:rowOff>
    </xdr:to>
    <xdr:sp>
      <xdr:nvSpPr>
        <xdr:cNvPr id="104" name="Rectangle 104"/>
        <xdr:cNvSpPr>
          <a:spLocks/>
        </xdr:cNvSpPr>
      </xdr:nvSpPr>
      <xdr:spPr>
        <a:xfrm>
          <a:off x="6076950" y="240506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128</xdr:row>
      <xdr:rowOff>0</xdr:rowOff>
    </xdr:from>
    <xdr:to>
      <xdr:col>8</xdr:col>
      <xdr:colOff>381000</xdr:colOff>
      <xdr:row>128</xdr:row>
      <xdr:rowOff>0</xdr:rowOff>
    </xdr:to>
    <xdr:sp>
      <xdr:nvSpPr>
        <xdr:cNvPr id="105" name="Rectangle 105"/>
        <xdr:cNvSpPr>
          <a:spLocks/>
        </xdr:cNvSpPr>
      </xdr:nvSpPr>
      <xdr:spPr>
        <a:xfrm>
          <a:off x="5991225" y="24050625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</a:p>
      </xdr:txBody>
    </xdr:sp>
    <xdr:clientData/>
  </xdr:twoCellAnchor>
  <xdr:twoCellAnchor>
    <xdr:from>
      <xdr:col>0</xdr:col>
      <xdr:colOff>190500</xdr:colOff>
      <xdr:row>121</xdr:row>
      <xdr:rowOff>85725</xdr:rowOff>
    </xdr:from>
    <xdr:to>
      <xdr:col>0</xdr:col>
      <xdr:colOff>295275</xdr:colOff>
      <xdr:row>121</xdr:row>
      <xdr:rowOff>190500</xdr:rowOff>
    </xdr:to>
    <xdr:sp>
      <xdr:nvSpPr>
        <xdr:cNvPr id="106" name="AutoShape 106"/>
        <xdr:cNvSpPr>
          <a:spLocks/>
        </xdr:cNvSpPr>
      </xdr:nvSpPr>
      <xdr:spPr>
        <a:xfrm flipV="1">
          <a:off x="190500" y="23517225"/>
          <a:ext cx="104775" cy="0"/>
        </a:xfrm>
        <a:prstGeom prst="star5">
          <a:avLst/>
        </a:prstGeom>
        <a:solidFill>
          <a:srgbClr val="0000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123825</xdr:colOff>
      <xdr:row>128</xdr:row>
      <xdr:rowOff>0</xdr:rowOff>
    </xdr:from>
    <xdr:to>
      <xdr:col>8</xdr:col>
      <xdr:colOff>400050</xdr:colOff>
      <xdr:row>128</xdr:row>
      <xdr:rowOff>0</xdr:rowOff>
    </xdr:to>
    <xdr:sp>
      <xdr:nvSpPr>
        <xdr:cNvPr id="107" name="Rectangle 107"/>
        <xdr:cNvSpPr>
          <a:spLocks/>
        </xdr:cNvSpPr>
      </xdr:nvSpPr>
      <xdr:spPr>
        <a:xfrm>
          <a:off x="6076950" y="240506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85725</xdr:colOff>
      <xdr:row>128</xdr:row>
      <xdr:rowOff>0</xdr:rowOff>
    </xdr:from>
    <xdr:to>
      <xdr:col>10</xdr:col>
      <xdr:colOff>409575</xdr:colOff>
      <xdr:row>128</xdr:row>
      <xdr:rowOff>0</xdr:rowOff>
    </xdr:to>
    <xdr:sp>
      <xdr:nvSpPr>
        <xdr:cNvPr id="108" name="Rectangle 108"/>
        <xdr:cNvSpPr>
          <a:spLocks/>
        </xdr:cNvSpPr>
      </xdr:nvSpPr>
      <xdr:spPr>
        <a:xfrm>
          <a:off x="6953250" y="24050625"/>
          <a:ext cx="323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128</xdr:row>
      <xdr:rowOff>0</xdr:rowOff>
    </xdr:from>
    <xdr:to>
      <xdr:col>8</xdr:col>
      <xdr:colOff>381000</xdr:colOff>
      <xdr:row>128</xdr:row>
      <xdr:rowOff>0</xdr:rowOff>
    </xdr:to>
    <xdr:sp>
      <xdr:nvSpPr>
        <xdr:cNvPr id="109" name="Rectangle 109"/>
        <xdr:cNvSpPr>
          <a:spLocks/>
        </xdr:cNvSpPr>
      </xdr:nvSpPr>
      <xdr:spPr>
        <a:xfrm>
          <a:off x="5991225" y="24050625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</a:p>
      </xdr:txBody>
    </xdr:sp>
    <xdr:clientData/>
  </xdr:twoCellAnchor>
  <xdr:twoCellAnchor>
    <xdr:from>
      <xdr:col>10</xdr:col>
      <xdr:colOff>38100</xdr:colOff>
      <xdr:row>128</xdr:row>
      <xdr:rowOff>0</xdr:rowOff>
    </xdr:from>
    <xdr:to>
      <xdr:col>10</xdr:col>
      <xdr:colOff>314325</xdr:colOff>
      <xdr:row>128</xdr:row>
      <xdr:rowOff>0</xdr:rowOff>
    </xdr:to>
    <xdr:sp>
      <xdr:nvSpPr>
        <xdr:cNvPr id="110" name="Rectangle 110"/>
        <xdr:cNvSpPr>
          <a:spLocks/>
        </xdr:cNvSpPr>
      </xdr:nvSpPr>
      <xdr:spPr>
        <a:xfrm>
          <a:off x="6905625" y="240506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128</xdr:row>
      <xdr:rowOff>0</xdr:rowOff>
    </xdr:from>
    <xdr:to>
      <xdr:col>12</xdr:col>
      <xdr:colOff>314325</xdr:colOff>
      <xdr:row>128</xdr:row>
      <xdr:rowOff>0</xdr:rowOff>
    </xdr:to>
    <xdr:sp>
      <xdr:nvSpPr>
        <xdr:cNvPr id="111" name="Rectangle 111"/>
        <xdr:cNvSpPr>
          <a:spLocks/>
        </xdr:cNvSpPr>
      </xdr:nvSpPr>
      <xdr:spPr>
        <a:xfrm>
          <a:off x="7800975" y="240506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38100</xdr:colOff>
      <xdr:row>128</xdr:row>
      <xdr:rowOff>0</xdr:rowOff>
    </xdr:from>
    <xdr:to>
      <xdr:col>14</xdr:col>
      <xdr:colOff>314325</xdr:colOff>
      <xdr:row>128</xdr:row>
      <xdr:rowOff>0</xdr:rowOff>
    </xdr:to>
    <xdr:sp>
      <xdr:nvSpPr>
        <xdr:cNvPr id="112" name="Rectangle 112"/>
        <xdr:cNvSpPr>
          <a:spLocks/>
        </xdr:cNvSpPr>
      </xdr:nvSpPr>
      <xdr:spPr>
        <a:xfrm>
          <a:off x="8782050" y="240506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16</xdr:col>
      <xdr:colOff>19050</xdr:colOff>
      <xdr:row>128</xdr:row>
      <xdr:rowOff>0</xdr:rowOff>
    </xdr:from>
    <xdr:to>
      <xdr:col>16</xdr:col>
      <xdr:colOff>314325</xdr:colOff>
      <xdr:row>128</xdr:row>
      <xdr:rowOff>0</xdr:rowOff>
    </xdr:to>
    <xdr:sp>
      <xdr:nvSpPr>
        <xdr:cNvPr id="113" name="Rectangle 113"/>
        <xdr:cNvSpPr>
          <a:spLocks/>
        </xdr:cNvSpPr>
      </xdr:nvSpPr>
      <xdr:spPr>
        <a:xfrm>
          <a:off x="9477375" y="240506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18</xdr:col>
      <xdr:colOff>0</xdr:colOff>
      <xdr:row>128</xdr:row>
      <xdr:rowOff>0</xdr:rowOff>
    </xdr:from>
    <xdr:to>
      <xdr:col>18</xdr:col>
      <xdr:colOff>0</xdr:colOff>
      <xdr:row>128</xdr:row>
      <xdr:rowOff>0</xdr:rowOff>
    </xdr:to>
    <xdr:sp>
      <xdr:nvSpPr>
        <xdr:cNvPr id="114" name="Rectangle 114"/>
        <xdr:cNvSpPr>
          <a:spLocks/>
        </xdr:cNvSpPr>
      </xdr:nvSpPr>
      <xdr:spPr>
        <a:xfrm>
          <a:off x="10763250" y="24050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128</xdr:row>
      <xdr:rowOff>0</xdr:rowOff>
    </xdr:from>
    <xdr:to>
      <xdr:col>10</xdr:col>
      <xdr:colOff>314325</xdr:colOff>
      <xdr:row>128</xdr:row>
      <xdr:rowOff>0</xdr:rowOff>
    </xdr:to>
    <xdr:sp>
      <xdr:nvSpPr>
        <xdr:cNvPr id="115" name="Rectangle 115"/>
        <xdr:cNvSpPr>
          <a:spLocks/>
        </xdr:cNvSpPr>
      </xdr:nvSpPr>
      <xdr:spPr>
        <a:xfrm>
          <a:off x="6905625" y="240506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128</xdr:row>
      <xdr:rowOff>0</xdr:rowOff>
    </xdr:from>
    <xdr:to>
      <xdr:col>12</xdr:col>
      <xdr:colOff>314325</xdr:colOff>
      <xdr:row>128</xdr:row>
      <xdr:rowOff>0</xdr:rowOff>
    </xdr:to>
    <xdr:sp>
      <xdr:nvSpPr>
        <xdr:cNvPr id="116" name="Rectangle 116"/>
        <xdr:cNvSpPr>
          <a:spLocks/>
        </xdr:cNvSpPr>
      </xdr:nvSpPr>
      <xdr:spPr>
        <a:xfrm>
          <a:off x="7800975" y="240506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38100</xdr:colOff>
      <xdr:row>128</xdr:row>
      <xdr:rowOff>0</xdr:rowOff>
    </xdr:from>
    <xdr:to>
      <xdr:col>14</xdr:col>
      <xdr:colOff>314325</xdr:colOff>
      <xdr:row>128</xdr:row>
      <xdr:rowOff>0</xdr:rowOff>
    </xdr:to>
    <xdr:sp>
      <xdr:nvSpPr>
        <xdr:cNvPr id="117" name="Rectangle 117"/>
        <xdr:cNvSpPr>
          <a:spLocks/>
        </xdr:cNvSpPr>
      </xdr:nvSpPr>
      <xdr:spPr>
        <a:xfrm>
          <a:off x="8782050" y="240506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16</xdr:col>
      <xdr:colOff>19050</xdr:colOff>
      <xdr:row>128</xdr:row>
      <xdr:rowOff>0</xdr:rowOff>
    </xdr:from>
    <xdr:to>
      <xdr:col>16</xdr:col>
      <xdr:colOff>314325</xdr:colOff>
      <xdr:row>128</xdr:row>
      <xdr:rowOff>0</xdr:rowOff>
    </xdr:to>
    <xdr:sp>
      <xdr:nvSpPr>
        <xdr:cNvPr id="118" name="Rectangle 118"/>
        <xdr:cNvSpPr>
          <a:spLocks/>
        </xdr:cNvSpPr>
      </xdr:nvSpPr>
      <xdr:spPr>
        <a:xfrm>
          <a:off x="9477375" y="240506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18</xdr:col>
      <xdr:colOff>0</xdr:colOff>
      <xdr:row>128</xdr:row>
      <xdr:rowOff>0</xdr:rowOff>
    </xdr:from>
    <xdr:to>
      <xdr:col>18</xdr:col>
      <xdr:colOff>0</xdr:colOff>
      <xdr:row>128</xdr:row>
      <xdr:rowOff>0</xdr:rowOff>
    </xdr:to>
    <xdr:sp>
      <xdr:nvSpPr>
        <xdr:cNvPr id="119" name="Rectangle 119"/>
        <xdr:cNvSpPr>
          <a:spLocks/>
        </xdr:cNvSpPr>
      </xdr:nvSpPr>
      <xdr:spPr>
        <a:xfrm>
          <a:off x="10763250" y="24050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128</xdr:row>
      <xdr:rowOff>0</xdr:rowOff>
    </xdr:from>
    <xdr:to>
      <xdr:col>8</xdr:col>
      <xdr:colOff>314325</xdr:colOff>
      <xdr:row>128</xdr:row>
      <xdr:rowOff>0</xdr:rowOff>
    </xdr:to>
    <xdr:sp>
      <xdr:nvSpPr>
        <xdr:cNvPr id="120" name="Rectangle 120"/>
        <xdr:cNvSpPr>
          <a:spLocks/>
        </xdr:cNvSpPr>
      </xdr:nvSpPr>
      <xdr:spPr>
        <a:xfrm>
          <a:off x="5991225" y="240506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19050</xdr:colOff>
      <xdr:row>128</xdr:row>
      <xdr:rowOff>0</xdr:rowOff>
    </xdr:from>
    <xdr:to>
      <xdr:col>10</xdr:col>
      <xdr:colOff>314325</xdr:colOff>
      <xdr:row>128</xdr:row>
      <xdr:rowOff>0</xdr:rowOff>
    </xdr:to>
    <xdr:sp>
      <xdr:nvSpPr>
        <xdr:cNvPr id="121" name="Rectangle 121"/>
        <xdr:cNvSpPr>
          <a:spLocks/>
        </xdr:cNvSpPr>
      </xdr:nvSpPr>
      <xdr:spPr>
        <a:xfrm>
          <a:off x="6886575" y="240506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38100</xdr:colOff>
      <xdr:row>128</xdr:row>
      <xdr:rowOff>0</xdr:rowOff>
    </xdr:from>
    <xdr:to>
      <xdr:col>12</xdr:col>
      <xdr:colOff>314325</xdr:colOff>
      <xdr:row>128</xdr:row>
      <xdr:rowOff>0</xdr:rowOff>
    </xdr:to>
    <xdr:sp>
      <xdr:nvSpPr>
        <xdr:cNvPr id="122" name="Rectangle 122"/>
        <xdr:cNvSpPr>
          <a:spLocks/>
        </xdr:cNvSpPr>
      </xdr:nvSpPr>
      <xdr:spPr>
        <a:xfrm>
          <a:off x="7820025" y="240506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19050</xdr:colOff>
      <xdr:row>128</xdr:row>
      <xdr:rowOff>0</xdr:rowOff>
    </xdr:from>
    <xdr:to>
      <xdr:col>14</xdr:col>
      <xdr:colOff>314325</xdr:colOff>
      <xdr:row>128</xdr:row>
      <xdr:rowOff>0</xdr:rowOff>
    </xdr:to>
    <xdr:sp>
      <xdr:nvSpPr>
        <xdr:cNvPr id="123" name="Rectangle 123"/>
        <xdr:cNvSpPr>
          <a:spLocks/>
        </xdr:cNvSpPr>
      </xdr:nvSpPr>
      <xdr:spPr>
        <a:xfrm>
          <a:off x="8763000" y="240506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16</xdr:col>
      <xdr:colOff>19050</xdr:colOff>
      <xdr:row>128</xdr:row>
      <xdr:rowOff>0</xdr:rowOff>
    </xdr:from>
    <xdr:to>
      <xdr:col>16</xdr:col>
      <xdr:colOff>314325</xdr:colOff>
      <xdr:row>128</xdr:row>
      <xdr:rowOff>0</xdr:rowOff>
    </xdr:to>
    <xdr:sp>
      <xdr:nvSpPr>
        <xdr:cNvPr id="124" name="Rectangle 124"/>
        <xdr:cNvSpPr>
          <a:spLocks/>
        </xdr:cNvSpPr>
      </xdr:nvSpPr>
      <xdr:spPr>
        <a:xfrm>
          <a:off x="9477375" y="240506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128</xdr:row>
      <xdr:rowOff>0</xdr:rowOff>
    </xdr:from>
    <xdr:to>
      <xdr:col>8</xdr:col>
      <xdr:colOff>314325</xdr:colOff>
      <xdr:row>128</xdr:row>
      <xdr:rowOff>0</xdr:rowOff>
    </xdr:to>
    <xdr:sp>
      <xdr:nvSpPr>
        <xdr:cNvPr id="125" name="Rectangle 125"/>
        <xdr:cNvSpPr>
          <a:spLocks/>
        </xdr:cNvSpPr>
      </xdr:nvSpPr>
      <xdr:spPr>
        <a:xfrm>
          <a:off x="5991225" y="240506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19050</xdr:colOff>
      <xdr:row>128</xdr:row>
      <xdr:rowOff>0</xdr:rowOff>
    </xdr:from>
    <xdr:to>
      <xdr:col>10</xdr:col>
      <xdr:colOff>314325</xdr:colOff>
      <xdr:row>128</xdr:row>
      <xdr:rowOff>0</xdr:rowOff>
    </xdr:to>
    <xdr:sp>
      <xdr:nvSpPr>
        <xdr:cNvPr id="126" name="Rectangle 126"/>
        <xdr:cNvSpPr>
          <a:spLocks/>
        </xdr:cNvSpPr>
      </xdr:nvSpPr>
      <xdr:spPr>
        <a:xfrm>
          <a:off x="6886575" y="240506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38100</xdr:colOff>
      <xdr:row>128</xdr:row>
      <xdr:rowOff>0</xdr:rowOff>
    </xdr:from>
    <xdr:to>
      <xdr:col>12</xdr:col>
      <xdr:colOff>314325</xdr:colOff>
      <xdr:row>128</xdr:row>
      <xdr:rowOff>0</xdr:rowOff>
    </xdr:to>
    <xdr:sp>
      <xdr:nvSpPr>
        <xdr:cNvPr id="127" name="Rectangle 127"/>
        <xdr:cNvSpPr>
          <a:spLocks/>
        </xdr:cNvSpPr>
      </xdr:nvSpPr>
      <xdr:spPr>
        <a:xfrm>
          <a:off x="7820025" y="240506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19050</xdr:colOff>
      <xdr:row>128</xdr:row>
      <xdr:rowOff>0</xdr:rowOff>
    </xdr:from>
    <xdr:to>
      <xdr:col>14</xdr:col>
      <xdr:colOff>314325</xdr:colOff>
      <xdr:row>128</xdr:row>
      <xdr:rowOff>0</xdr:rowOff>
    </xdr:to>
    <xdr:sp>
      <xdr:nvSpPr>
        <xdr:cNvPr id="128" name="Rectangle 128"/>
        <xdr:cNvSpPr>
          <a:spLocks/>
        </xdr:cNvSpPr>
      </xdr:nvSpPr>
      <xdr:spPr>
        <a:xfrm>
          <a:off x="8763000" y="240506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16</xdr:col>
      <xdr:colOff>19050</xdr:colOff>
      <xdr:row>128</xdr:row>
      <xdr:rowOff>0</xdr:rowOff>
    </xdr:from>
    <xdr:to>
      <xdr:col>16</xdr:col>
      <xdr:colOff>314325</xdr:colOff>
      <xdr:row>128</xdr:row>
      <xdr:rowOff>0</xdr:rowOff>
    </xdr:to>
    <xdr:sp>
      <xdr:nvSpPr>
        <xdr:cNvPr id="129" name="Rectangle 129"/>
        <xdr:cNvSpPr>
          <a:spLocks/>
        </xdr:cNvSpPr>
      </xdr:nvSpPr>
      <xdr:spPr>
        <a:xfrm>
          <a:off x="9477375" y="240506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128</xdr:row>
      <xdr:rowOff>0</xdr:rowOff>
    </xdr:from>
    <xdr:to>
      <xdr:col>8</xdr:col>
      <xdr:colOff>314325</xdr:colOff>
      <xdr:row>128</xdr:row>
      <xdr:rowOff>0</xdr:rowOff>
    </xdr:to>
    <xdr:sp>
      <xdr:nvSpPr>
        <xdr:cNvPr id="130" name="Rectangle 130"/>
        <xdr:cNvSpPr>
          <a:spLocks/>
        </xdr:cNvSpPr>
      </xdr:nvSpPr>
      <xdr:spPr>
        <a:xfrm>
          <a:off x="5991225" y="240506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19050</xdr:colOff>
      <xdr:row>128</xdr:row>
      <xdr:rowOff>0</xdr:rowOff>
    </xdr:from>
    <xdr:to>
      <xdr:col>10</xdr:col>
      <xdr:colOff>314325</xdr:colOff>
      <xdr:row>128</xdr:row>
      <xdr:rowOff>0</xdr:rowOff>
    </xdr:to>
    <xdr:sp>
      <xdr:nvSpPr>
        <xdr:cNvPr id="131" name="Rectangle 131"/>
        <xdr:cNvSpPr>
          <a:spLocks/>
        </xdr:cNvSpPr>
      </xdr:nvSpPr>
      <xdr:spPr>
        <a:xfrm>
          <a:off x="6886575" y="240506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128</xdr:row>
      <xdr:rowOff>0</xdr:rowOff>
    </xdr:from>
    <xdr:to>
      <xdr:col>10</xdr:col>
      <xdr:colOff>314325</xdr:colOff>
      <xdr:row>128</xdr:row>
      <xdr:rowOff>0</xdr:rowOff>
    </xdr:to>
    <xdr:sp>
      <xdr:nvSpPr>
        <xdr:cNvPr id="132" name="Rectangle 132"/>
        <xdr:cNvSpPr>
          <a:spLocks/>
        </xdr:cNvSpPr>
      </xdr:nvSpPr>
      <xdr:spPr>
        <a:xfrm>
          <a:off x="6905625" y="240506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128</xdr:row>
      <xdr:rowOff>0</xdr:rowOff>
    </xdr:from>
    <xdr:to>
      <xdr:col>12</xdr:col>
      <xdr:colOff>314325</xdr:colOff>
      <xdr:row>128</xdr:row>
      <xdr:rowOff>0</xdr:rowOff>
    </xdr:to>
    <xdr:sp>
      <xdr:nvSpPr>
        <xdr:cNvPr id="133" name="Rectangle 133"/>
        <xdr:cNvSpPr>
          <a:spLocks/>
        </xdr:cNvSpPr>
      </xdr:nvSpPr>
      <xdr:spPr>
        <a:xfrm>
          <a:off x="7800975" y="240506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38100</xdr:colOff>
      <xdr:row>128</xdr:row>
      <xdr:rowOff>0</xdr:rowOff>
    </xdr:from>
    <xdr:to>
      <xdr:col>14</xdr:col>
      <xdr:colOff>314325</xdr:colOff>
      <xdr:row>128</xdr:row>
      <xdr:rowOff>0</xdr:rowOff>
    </xdr:to>
    <xdr:sp>
      <xdr:nvSpPr>
        <xdr:cNvPr id="134" name="Rectangle 134"/>
        <xdr:cNvSpPr>
          <a:spLocks/>
        </xdr:cNvSpPr>
      </xdr:nvSpPr>
      <xdr:spPr>
        <a:xfrm>
          <a:off x="8782050" y="240506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16</xdr:col>
      <xdr:colOff>19050</xdr:colOff>
      <xdr:row>128</xdr:row>
      <xdr:rowOff>0</xdr:rowOff>
    </xdr:from>
    <xdr:to>
      <xdr:col>16</xdr:col>
      <xdr:colOff>314325</xdr:colOff>
      <xdr:row>128</xdr:row>
      <xdr:rowOff>0</xdr:rowOff>
    </xdr:to>
    <xdr:sp>
      <xdr:nvSpPr>
        <xdr:cNvPr id="135" name="Rectangle 135"/>
        <xdr:cNvSpPr>
          <a:spLocks/>
        </xdr:cNvSpPr>
      </xdr:nvSpPr>
      <xdr:spPr>
        <a:xfrm>
          <a:off x="9477375" y="240506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18</xdr:col>
      <xdr:colOff>0</xdr:colOff>
      <xdr:row>128</xdr:row>
      <xdr:rowOff>0</xdr:rowOff>
    </xdr:from>
    <xdr:to>
      <xdr:col>18</xdr:col>
      <xdr:colOff>0</xdr:colOff>
      <xdr:row>128</xdr:row>
      <xdr:rowOff>0</xdr:rowOff>
    </xdr:to>
    <xdr:sp>
      <xdr:nvSpPr>
        <xdr:cNvPr id="136" name="Rectangle 136"/>
        <xdr:cNvSpPr>
          <a:spLocks/>
        </xdr:cNvSpPr>
      </xdr:nvSpPr>
      <xdr:spPr>
        <a:xfrm>
          <a:off x="10763250" y="24050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6</xdr:col>
      <xdr:colOff>38100</xdr:colOff>
      <xdr:row>128</xdr:row>
      <xdr:rowOff>0</xdr:rowOff>
    </xdr:from>
    <xdr:to>
      <xdr:col>6</xdr:col>
      <xdr:colOff>314325</xdr:colOff>
      <xdr:row>128</xdr:row>
      <xdr:rowOff>0</xdr:rowOff>
    </xdr:to>
    <xdr:sp>
      <xdr:nvSpPr>
        <xdr:cNvPr id="137" name="Rectangle 137"/>
        <xdr:cNvSpPr>
          <a:spLocks/>
        </xdr:cNvSpPr>
      </xdr:nvSpPr>
      <xdr:spPr>
        <a:xfrm>
          <a:off x="5076825" y="240506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6</xdr:col>
      <xdr:colOff>19050</xdr:colOff>
      <xdr:row>128</xdr:row>
      <xdr:rowOff>0</xdr:rowOff>
    </xdr:from>
    <xdr:to>
      <xdr:col>6</xdr:col>
      <xdr:colOff>314325</xdr:colOff>
      <xdr:row>128</xdr:row>
      <xdr:rowOff>0</xdr:rowOff>
    </xdr:to>
    <xdr:sp>
      <xdr:nvSpPr>
        <xdr:cNvPr id="138" name="Rectangle 138"/>
        <xdr:cNvSpPr>
          <a:spLocks/>
        </xdr:cNvSpPr>
      </xdr:nvSpPr>
      <xdr:spPr>
        <a:xfrm>
          <a:off x="5057775" y="240506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38100</xdr:colOff>
      <xdr:row>128</xdr:row>
      <xdr:rowOff>0</xdr:rowOff>
    </xdr:from>
    <xdr:to>
      <xdr:col>12</xdr:col>
      <xdr:colOff>314325</xdr:colOff>
      <xdr:row>128</xdr:row>
      <xdr:rowOff>0</xdr:rowOff>
    </xdr:to>
    <xdr:sp>
      <xdr:nvSpPr>
        <xdr:cNvPr id="139" name="Rectangle 139"/>
        <xdr:cNvSpPr>
          <a:spLocks/>
        </xdr:cNvSpPr>
      </xdr:nvSpPr>
      <xdr:spPr>
        <a:xfrm>
          <a:off x="7820025" y="240506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19050</xdr:colOff>
      <xdr:row>128</xdr:row>
      <xdr:rowOff>0</xdr:rowOff>
    </xdr:from>
    <xdr:to>
      <xdr:col>14</xdr:col>
      <xdr:colOff>314325</xdr:colOff>
      <xdr:row>128</xdr:row>
      <xdr:rowOff>0</xdr:rowOff>
    </xdr:to>
    <xdr:sp>
      <xdr:nvSpPr>
        <xdr:cNvPr id="140" name="Rectangle 140"/>
        <xdr:cNvSpPr>
          <a:spLocks/>
        </xdr:cNvSpPr>
      </xdr:nvSpPr>
      <xdr:spPr>
        <a:xfrm>
          <a:off x="8763000" y="240506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18</xdr:col>
      <xdr:colOff>0</xdr:colOff>
      <xdr:row>128</xdr:row>
      <xdr:rowOff>0</xdr:rowOff>
    </xdr:from>
    <xdr:to>
      <xdr:col>18</xdr:col>
      <xdr:colOff>0</xdr:colOff>
      <xdr:row>128</xdr:row>
      <xdr:rowOff>0</xdr:rowOff>
    </xdr:to>
    <xdr:sp>
      <xdr:nvSpPr>
        <xdr:cNvPr id="141" name="Rectangle 141"/>
        <xdr:cNvSpPr>
          <a:spLocks/>
        </xdr:cNvSpPr>
      </xdr:nvSpPr>
      <xdr:spPr>
        <a:xfrm>
          <a:off x="10763250" y="24050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19050</xdr:colOff>
      <xdr:row>128</xdr:row>
      <xdr:rowOff>0</xdr:rowOff>
    </xdr:from>
    <xdr:to>
      <xdr:col>8</xdr:col>
      <xdr:colOff>314325</xdr:colOff>
      <xdr:row>128</xdr:row>
      <xdr:rowOff>0</xdr:rowOff>
    </xdr:to>
    <xdr:sp>
      <xdr:nvSpPr>
        <xdr:cNvPr id="142" name="Rectangle 142"/>
        <xdr:cNvSpPr>
          <a:spLocks/>
        </xdr:cNvSpPr>
      </xdr:nvSpPr>
      <xdr:spPr>
        <a:xfrm>
          <a:off x="5972175" y="240506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128</xdr:row>
      <xdr:rowOff>0</xdr:rowOff>
    </xdr:from>
    <xdr:to>
      <xdr:col>10</xdr:col>
      <xdr:colOff>314325</xdr:colOff>
      <xdr:row>128</xdr:row>
      <xdr:rowOff>0</xdr:rowOff>
    </xdr:to>
    <xdr:sp>
      <xdr:nvSpPr>
        <xdr:cNvPr id="143" name="Rectangle 143"/>
        <xdr:cNvSpPr>
          <a:spLocks/>
        </xdr:cNvSpPr>
      </xdr:nvSpPr>
      <xdr:spPr>
        <a:xfrm>
          <a:off x="6905625" y="240506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19050</xdr:colOff>
      <xdr:row>128</xdr:row>
      <xdr:rowOff>0</xdr:rowOff>
    </xdr:from>
    <xdr:to>
      <xdr:col>14</xdr:col>
      <xdr:colOff>314325</xdr:colOff>
      <xdr:row>128</xdr:row>
      <xdr:rowOff>0</xdr:rowOff>
    </xdr:to>
    <xdr:sp>
      <xdr:nvSpPr>
        <xdr:cNvPr id="144" name="Rectangle 144"/>
        <xdr:cNvSpPr>
          <a:spLocks/>
        </xdr:cNvSpPr>
      </xdr:nvSpPr>
      <xdr:spPr>
        <a:xfrm>
          <a:off x="8763000" y="240506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128</xdr:row>
      <xdr:rowOff>0</xdr:rowOff>
    </xdr:from>
    <xdr:to>
      <xdr:col>10</xdr:col>
      <xdr:colOff>314325</xdr:colOff>
      <xdr:row>128</xdr:row>
      <xdr:rowOff>0</xdr:rowOff>
    </xdr:to>
    <xdr:sp>
      <xdr:nvSpPr>
        <xdr:cNvPr id="145" name="Rectangle 145"/>
        <xdr:cNvSpPr>
          <a:spLocks/>
        </xdr:cNvSpPr>
      </xdr:nvSpPr>
      <xdr:spPr>
        <a:xfrm>
          <a:off x="6905625" y="240506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128</xdr:row>
      <xdr:rowOff>0</xdr:rowOff>
    </xdr:from>
    <xdr:to>
      <xdr:col>12</xdr:col>
      <xdr:colOff>314325</xdr:colOff>
      <xdr:row>128</xdr:row>
      <xdr:rowOff>0</xdr:rowOff>
    </xdr:to>
    <xdr:sp>
      <xdr:nvSpPr>
        <xdr:cNvPr id="146" name="Rectangle 146"/>
        <xdr:cNvSpPr>
          <a:spLocks/>
        </xdr:cNvSpPr>
      </xdr:nvSpPr>
      <xdr:spPr>
        <a:xfrm>
          <a:off x="7800975" y="240506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38100</xdr:colOff>
      <xdr:row>128</xdr:row>
      <xdr:rowOff>0</xdr:rowOff>
    </xdr:from>
    <xdr:to>
      <xdr:col>14</xdr:col>
      <xdr:colOff>314325</xdr:colOff>
      <xdr:row>128</xdr:row>
      <xdr:rowOff>0</xdr:rowOff>
    </xdr:to>
    <xdr:sp>
      <xdr:nvSpPr>
        <xdr:cNvPr id="147" name="Rectangle 147"/>
        <xdr:cNvSpPr>
          <a:spLocks/>
        </xdr:cNvSpPr>
      </xdr:nvSpPr>
      <xdr:spPr>
        <a:xfrm>
          <a:off x="8782050" y="240506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16</xdr:col>
      <xdr:colOff>19050</xdr:colOff>
      <xdr:row>128</xdr:row>
      <xdr:rowOff>0</xdr:rowOff>
    </xdr:from>
    <xdr:to>
      <xdr:col>16</xdr:col>
      <xdr:colOff>314325</xdr:colOff>
      <xdr:row>128</xdr:row>
      <xdr:rowOff>0</xdr:rowOff>
    </xdr:to>
    <xdr:sp>
      <xdr:nvSpPr>
        <xdr:cNvPr id="148" name="Rectangle 148"/>
        <xdr:cNvSpPr>
          <a:spLocks/>
        </xdr:cNvSpPr>
      </xdr:nvSpPr>
      <xdr:spPr>
        <a:xfrm>
          <a:off x="9477375" y="240506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18</xdr:col>
      <xdr:colOff>0</xdr:colOff>
      <xdr:row>128</xdr:row>
      <xdr:rowOff>0</xdr:rowOff>
    </xdr:from>
    <xdr:to>
      <xdr:col>18</xdr:col>
      <xdr:colOff>0</xdr:colOff>
      <xdr:row>128</xdr:row>
      <xdr:rowOff>0</xdr:rowOff>
    </xdr:to>
    <xdr:sp>
      <xdr:nvSpPr>
        <xdr:cNvPr id="149" name="Rectangle 149"/>
        <xdr:cNvSpPr>
          <a:spLocks/>
        </xdr:cNvSpPr>
      </xdr:nvSpPr>
      <xdr:spPr>
        <a:xfrm>
          <a:off x="10763250" y="24050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128</xdr:row>
      <xdr:rowOff>0</xdr:rowOff>
    </xdr:from>
    <xdr:to>
      <xdr:col>8</xdr:col>
      <xdr:colOff>314325</xdr:colOff>
      <xdr:row>128</xdr:row>
      <xdr:rowOff>0</xdr:rowOff>
    </xdr:to>
    <xdr:sp>
      <xdr:nvSpPr>
        <xdr:cNvPr id="150" name="Rectangle 150"/>
        <xdr:cNvSpPr>
          <a:spLocks/>
        </xdr:cNvSpPr>
      </xdr:nvSpPr>
      <xdr:spPr>
        <a:xfrm>
          <a:off x="5991225" y="240506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19050</xdr:colOff>
      <xdr:row>128</xdr:row>
      <xdr:rowOff>0</xdr:rowOff>
    </xdr:from>
    <xdr:to>
      <xdr:col>10</xdr:col>
      <xdr:colOff>314325</xdr:colOff>
      <xdr:row>128</xdr:row>
      <xdr:rowOff>0</xdr:rowOff>
    </xdr:to>
    <xdr:sp>
      <xdr:nvSpPr>
        <xdr:cNvPr id="151" name="Rectangle 151"/>
        <xdr:cNvSpPr>
          <a:spLocks/>
        </xdr:cNvSpPr>
      </xdr:nvSpPr>
      <xdr:spPr>
        <a:xfrm>
          <a:off x="6886575" y="240506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38100</xdr:colOff>
      <xdr:row>128</xdr:row>
      <xdr:rowOff>0</xdr:rowOff>
    </xdr:from>
    <xdr:to>
      <xdr:col>12</xdr:col>
      <xdr:colOff>314325</xdr:colOff>
      <xdr:row>128</xdr:row>
      <xdr:rowOff>0</xdr:rowOff>
    </xdr:to>
    <xdr:sp>
      <xdr:nvSpPr>
        <xdr:cNvPr id="152" name="Rectangle 152"/>
        <xdr:cNvSpPr>
          <a:spLocks/>
        </xdr:cNvSpPr>
      </xdr:nvSpPr>
      <xdr:spPr>
        <a:xfrm>
          <a:off x="7820025" y="240506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19050</xdr:colOff>
      <xdr:row>128</xdr:row>
      <xdr:rowOff>0</xdr:rowOff>
    </xdr:from>
    <xdr:to>
      <xdr:col>14</xdr:col>
      <xdr:colOff>314325</xdr:colOff>
      <xdr:row>128</xdr:row>
      <xdr:rowOff>0</xdr:rowOff>
    </xdr:to>
    <xdr:sp>
      <xdr:nvSpPr>
        <xdr:cNvPr id="153" name="Rectangle 153"/>
        <xdr:cNvSpPr>
          <a:spLocks/>
        </xdr:cNvSpPr>
      </xdr:nvSpPr>
      <xdr:spPr>
        <a:xfrm>
          <a:off x="8763000" y="240506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16</xdr:col>
      <xdr:colOff>19050</xdr:colOff>
      <xdr:row>128</xdr:row>
      <xdr:rowOff>0</xdr:rowOff>
    </xdr:from>
    <xdr:to>
      <xdr:col>16</xdr:col>
      <xdr:colOff>314325</xdr:colOff>
      <xdr:row>128</xdr:row>
      <xdr:rowOff>0</xdr:rowOff>
    </xdr:to>
    <xdr:sp>
      <xdr:nvSpPr>
        <xdr:cNvPr id="154" name="Rectangle 154"/>
        <xdr:cNvSpPr>
          <a:spLocks/>
        </xdr:cNvSpPr>
      </xdr:nvSpPr>
      <xdr:spPr>
        <a:xfrm>
          <a:off x="9477375" y="240506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128</xdr:row>
      <xdr:rowOff>0</xdr:rowOff>
    </xdr:from>
    <xdr:to>
      <xdr:col>8</xdr:col>
      <xdr:colOff>314325</xdr:colOff>
      <xdr:row>128</xdr:row>
      <xdr:rowOff>0</xdr:rowOff>
    </xdr:to>
    <xdr:sp>
      <xdr:nvSpPr>
        <xdr:cNvPr id="155" name="Rectangle 155"/>
        <xdr:cNvSpPr>
          <a:spLocks/>
        </xdr:cNvSpPr>
      </xdr:nvSpPr>
      <xdr:spPr>
        <a:xfrm>
          <a:off x="5991225" y="240506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19050</xdr:colOff>
      <xdr:row>128</xdr:row>
      <xdr:rowOff>0</xdr:rowOff>
    </xdr:from>
    <xdr:to>
      <xdr:col>10</xdr:col>
      <xdr:colOff>314325</xdr:colOff>
      <xdr:row>128</xdr:row>
      <xdr:rowOff>0</xdr:rowOff>
    </xdr:to>
    <xdr:sp>
      <xdr:nvSpPr>
        <xdr:cNvPr id="156" name="Rectangle 156"/>
        <xdr:cNvSpPr>
          <a:spLocks/>
        </xdr:cNvSpPr>
      </xdr:nvSpPr>
      <xdr:spPr>
        <a:xfrm>
          <a:off x="6886575" y="240506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38100</xdr:colOff>
      <xdr:row>128</xdr:row>
      <xdr:rowOff>0</xdr:rowOff>
    </xdr:from>
    <xdr:to>
      <xdr:col>12</xdr:col>
      <xdr:colOff>314325</xdr:colOff>
      <xdr:row>128</xdr:row>
      <xdr:rowOff>0</xdr:rowOff>
    </xdr:to>
    <xdr:sp>
      <xdr:nvSpPr>
        <xdr:cNvPr id="157" name="Rectangle 157"/>
        <xdr:cNvSpPr>
          <a:spLocks/>
        </xdr:cNvSpPr>
      </xdr:nvSpPr>
      <xdr:spPr>
        <a:xfrm>
          <a:off x="7820025" y="240506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19050</xdr:colOff>
      <xdr:row>128</xdr:row>
      <xdr:rowOff>0</xdr:rowOff>
    </xdr:from>
    <xdr:to>
      <xdr:col>14</xdr:col>
      <xdr:colOff>314325</xdr:colOff>
      <xdr:row>128</xdr:row>
      <xdr:rowOff>0</xdr:rowOff>
    </xdr:to>
    <xdr:sp>
      <xdr:nvSpPr>
        <xdr:cNvPr id="158" name="Rectangle 158"/>
        <xdr:cNvSpPr>
          <a:spLocks/>
        </xdr:cNvSpPr>
      </xdr:nvSpPr>
      <xdr:spPr>
        <a:xfrm>
          <a:off x="8763000" y="240506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16</xdr:col>
      <xdr:colOff>19050</xdr:colOff>
      <xdr:row>128</xdr:row>
      <xdr:rowOff>0</xdr:rowOff>
    </xdr:from>
    <xdr:to>
      <xdr:col>16</xdr:col>
      <xdr:colOff>314325</xdr:colOff>
      <xdr:row>128</xdr:row>
      <xdr:rowOff>0</xdr:rowOff>
    </xdr:to>
    <xdr:sp>
      <xdr:nvSpPr>
        <xdr:cNvPr id="159" name="Rectangle 159"/>
        <xdr:cNvSpPr>
          <a:spLocks/>
        </xdr:cNvSpPr>
      </xdr:nvSpPr>
      <xdr:spPr>
        <a:xfrm>
          <a:off x="9477375" y="240506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128</xdr:row>
      <xdr:rowOff>0</xdr:rowOff>
    </xdr:from>
    <xdr:to>
      <xdr:col>10</xdr:col>
      <xdr:colOff>314325</xdr:colOff>
      <xdr:row>128</xdr:row>
      <xdr:rowOff>0</xdr:rowOff>
    </xdr:to>
    <xdr:sp>
      <xdr:nvSpPr>
        <xdr:cNvPr id="160" name="Rectangle 160"/>
        <xdr:cNvSpPr>
          <a:spLocks/>
        </xdr:cNvSpPr>
      </xdr:nvSpPr>
      <xdr:spPr>
        <a:xfrm>
          <a:off x="6905625" y="240506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128</xdr:row>
      <xdr:rowOff>0</xdr:rowOff>
    </xdr:from>
    <xdr:to>
      <xdr:col>12</xdr:col>
      <xdr:colOff>314325</xdr:colOff>
      <xdr:row>128</xdr:row>
      <xdr:rowOff>0</xdr:rowOff>
    </xdr:to>
    <xdr:sp>
      <xdr:nvSpPr>
        <xdr:cNvPr id="161" name="Rectangle 161"/>
        <xdr:cNvSpPr>
          <a:spLocks/>
        </xdr:cNvSpPr>
      </xdr:nvSpPr>
      <xdr:spPr>
        <a:xfrm>
          <a:off x="7800975" y="240506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38100</xdr:colOff>
      <xdr:row>128</xdr:row>
      <xdr:rowOff>0</xdr:rowOff>
    </xdr:from>
    <xdr:to>
      <xdr:col>14</xdr:col>
      <xdr:colOff>314325</xdr:colOff>
      <xdr:row>128</xdr:row>
      <xdr:rowOff>0</xdr:rowOff>
    </xdr:to>
    <xdr:sp>
      <xdr:nvSpPr>
        <xdr:cNvPr id="162" name="Rectangle 162"/>
        <xdr:cNvSpPr>
          <a:spLocks/>
        </xdr:cNvSpPr>
      </xdr:nvSpPr>
      <xdr:spPr>
        <a:xfrm>
          <a:off x="8782050" y="240506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16</xdr:col>
      <xdr:colOff>19050</xdr:colOff>
      <xdr:row>128</xdr:row>
      <xdr:rowOff>0</xdr:rowOff>
    </xdr:from>
    <xdr:to>
      <xdr:col>16</xdr:col>
      <xdr:colOff>314325</xdr:colOff>
      <xdr:row>128</xdr:row>
      <xdr:rowOff>0</xdr:rowOff>
    </xdr:to>
    <xdr:sp>
      <xdr:nvSpPr>
        <xdr:cNvPr id="163" name="Rectangle 163"/>
        <xdr:cNvSpPr>
          <a:spLocks/>
        </xdr:cNvSpPr>
      </xdr:nvSpPr>
      <xdr:spPr>
        <a:xfrm>
          <a:off x="9477375" y="240506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18</xdr:col>
      <xdr:colOff>0</xdr:colOff>
      <xdr:row>128</xdr:row>
      <xdr:rowOff>0</xdr:rowOff>
    </xdr:from>
    <xdr:to>
      <xdr:col>18</xdr:col>
      <xdr:colOff>0</xdr:colOff>
      <xdr:row>128</xdr:row>
      <xdr:rowOff>0</xdr:rowOff>
    </xdr:to>
    <xdr:sp>
      <xdr:nvSpPr>
        <xdr:cNvPr id="164" name="Rectangle 164"/>
        <xdr:cNvSpPr>
          <a:spLocks/>
        </xdr:cNvSpPr>
      </xdr:nvSpPr>
      <xdr:spPr>
        <a:xfrm>
          <a:off x="10763250" y="24050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128</xdr:row>
      <xdr:rowOff>0</xdr:rowOff>
    </xdr:from>
    <xdr:to>
      <xdr:col>10</xdr:col>
      <xdr:colOff>314325</xdr:colOff>
      <xdr:row>128</xdr:row>
      <xdr:rowOff>0</xdr:rowOff>
    </xdr:to>
    <xdr:sp>
      <xdr:nvSpPr>
        <xdr:cNvPr id="165" name="Rectangle 165"/>
        <xdr:cNvSpPr>
          <a:spLocks/>
        </xdr:cNvSpPr>
      </xdr:nvSpPr>
      <xdr:spPr>
        <a:xfrm>
          <a:off x="6905625" y="240506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128</xdr:row>
      <xdr:rowOff>0</xdr:rowOff>
    </xdr:from>
    <xdr:to>
      <xdr:col>12</xdr:col>
      <xdr:colOff>314325</xdr:colOff>
      <xdr:row>128</xdr:row>
      <xdr:rowOff>0</xdr:rowOff>
    </xdr:to>
    <xdr:sp>
      <xdr:nvSpPr>
        <xdr:cNvPr id="166" name="Rectangle 166"/>
        <xdr:cNvSpPr>
          <a:spLocks/>
        </xdr:cNvSpPr>
      </xdr:nvSpPr>
      <xdr:spPr>
        <a:xfrm>
          <a:off x="7800975" y="240506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38100</xdr:colOff>
      <xdr:row>128</xdr:row>
      <xdr:rowOff>0</xdr:rowOff>
    </xdr:from>
    <xdr:to>
      <xdr:col>14</xdr:col>
      <xdr:colOff>314325</xdr:colOff>
      <xdr:row>128</xdr:row>
      <xdr:rowOff>0</xdr:rowOff>
    </xdr:to>
    <xdr:sp>
      <xdr:nvSpPr>
        <xdr:cNvPr id="167" name="Rectangle 167"/>
        <xdr:cNvSpPr>
          <a:spLocks/>
        </xdr:cNvSpPr>
      </xdr:nvSpPr>
      <xdr:spPr>
        <a:xfrm>
          <a:off x="8782050" y="240506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16</xdr:col>
      <xdr:colOff>19050</xdr:colOff>
      <xdr:row>128</xdr:row>
      <xdr:rowOff>0</xdr:rowOff>
    </xdr:from>
    <xdr:to>
      <xdr:col>16</xdr:col>
      <xdr:colOff>314325</xdr:colOff>
      <xdr:row>128</xdr:row>
      <xdr:rowOff>0</xdr:rowOff>
    </xdr:to>
    <xdr:sp>
      <xdr:nvSpPr>
        <xdr:cNvPr id="168" name="Rectangle 168"/>
        <xdr:cNvSpPr>
          <a:spLocks/>
        </xdr:cNvSpPr>
      </xdr:nvSpPr>
      <xdr:spPr>
        <a:xfrm>
          <a:off x="9477375" y="240506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18</xdr:col>
      <xdr:colOff>0</xdr:colOff>
      <xdr:row>128</xdr:row>
      <xdr:rowOff>0</xdr:rowOff>
    </xdr:from>
    <xdr:to>
      <xdr:col>18</xdr:col>
      <xdr:colOff>0</xdr:colOff>
      <xdr:row>128</xdr:row>
      <xdr:rowOff>0</xdr:rowOff>
    </xdr:to>
    <xdr:sp>
      <xdr:nvSpPr>
        <xdr:cNvPr id="169" name="Rectangle 169"/>
        <xdr:cNvSpPr>
          <a:spLocks/>
        </xdr:cNvSpPr>
      </xdr:nvSpPr>
      <xdr:spPr>
        <a:xfrm>
          <a:off x="10763250" y="24050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128</xdr:row>
      <xdr:rowOff>0</xdr:rowOff>
    </xdr:from>
    <xdr:to>
      <xdr:col>10</xdr:col>
      <xdr:colOff>314325</xdr:colOff>
      <xdr:row>128</xdr:row>
      <xdr:rowOff>0</xdr:rowOff>
    </xdr:to>
    <xdr:sp>
      <xdr:nvSpPr>
        <xdr:cNvPr id="170" name="Rectangle 170"/>
        <xdr:cNvSpPr>
          <a:spLocks/>
        </xdr:cNvSpPr>
      </xdr:nvSpPr>
      <xdr:spPr>
        <a:xfrm>
          <a:off x="6905625" y="240506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128</xdr:row>
      <xdr:rowOff>0</xdr:rowOff>
    </xdr:from>
    <xdr:to>
      <xdr:col>12</xdr:col>
      <xdr:colOff>314325</xdr:colOff>
      <xdr:row>128</xdr:row>
      <xdr:rowOff>0</xdr:rowOff>
    </xdr:to>
    <xdr:sp>
      <xdr:nvSpPr>
        <xdr:cNvPr id="171" name="Rectangle 171"/>
        <xdr:cNvSpPr>
          <a:spLocks/>
        </xdr:cNvSpPr>
      </xdr:nvSpPr>
      <xdr:spPr>
        <a:xfrm>
          <a:off x="7800975" y="240506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38100</xdr:colOff>
      <xdr:row>128</xdr:row>
      <xdr:rowOff>0</xdr:rowOff>
    </xdr:from>
    <xdr:to>
      <xdr:col>14</xdr:col>
      <xdr:colOff>314325</xdr:colOff>
      <xdr:row>128</xdr:row>
      <xdr:rowOff>0</xdr:rowOff>
    </xdr:to>
    <xdr:sp>
      <xdr:nvSpPr>
        <xdr:cNvPr id="172" name="Rectangle 172"/>
        <xdr:cNvSpPr>
          <a:spLocks/>
        </xdr:cNvSpPr>
      </xdr:nvSpPr>
      <xdr:spPr>
        <a:xfrm>
          <a:off x="8782050" y="240506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16</xdr:col>
      <xdr:colOff>19050</xdr:colOff>
      <xdr:row>128</xdr:row>
      <xdr:rowOff>0</xdr:rowOff>
    </xdr:from>
    <xdr:to>
      <xdr:col>16</xdr:col>
      <xdr:colOff>314325</xdr:colOff>
      <xdr:row>128</xdr:row>
      <xdr:rowOff>0</xdr:rowOff>
    </xdr:to>
    <xdr:sp>
      <xdr:nvSpPr>
        <xdr:cNvPr id="173" name="Rectangle 173"/>
        <xdr:cNvSpPr>
          <a:spLocks/>
        </xdr:cNvSpPr>
      </xdr:nvSpPr>
      <xdr:spPr>
        <a:xfrm>
          <a:off x="9477375" y="240506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18</xdr:col>
      <xdr:colOff>0</xdr:colOff>
      <xdr:row>128</xdr:row>
      <xdr:rowOff>0</xdr:rowOff>
    </xdr:from>
    <xdr:to>
      <xdr:col>18</xdr:col>
      <xdr:colOff>0</xdr:colOff>
      <xdr:row>128</xdr:row>
      <xdr:rowOff>0</xdr:rowOff>
    </xdr:to>
    <xdr:sp>
      <xdr:nvSpPr>
        <xdr:cNvPr id="174" name="Rectangle 174"/>
        <xdr:cNvSpPr>
          <a:spLocks/>
        </xdr:cNvSpPr>
      </xdr:nvSpPr>
      <xdr:spPr>
        <a:xfrm>
          <a:off x="10763250" y="24050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123825</xdr:colOff>
      <xdr:row>128</xdr:row>
      <xdr:rowOff>0</xdr:rowOff>
    </xdr:from>
    <xdr:to>
      <xdr:col>8</xdr:col>
      <xdr:colOff>400050</xdr:colOff>
      <xdr:row>128</xdr:row>
      <xdr:rowOff>0</xdr:rowOff>
    </xdr:to>
    <xdr:sp>
      <xdr:nvSpPr>
        <xdr:cNvPr id="175" name="Rectangle 175"/>
        <xdr:cNvSpPr>
          <a:spLocks/>
        </xdr:cNvSpPr>
      </xdr:nvSpPr>
      <xdr:spPr>
        <a:xfrm>
          <a:off x="6076950" y="240506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85725</xdr:colOff>
      <xdr:row>128</xdr:row>
      <xdr:rowOff>0</xdr:rowOff>
    </xdr:from>
    <xdr:to>
      <xdr:col>10</xdr:col>
      <xdr:colOff>409575</xdr:colOff>
      <xdr:row>128</xdr:row>
      <xdr:rowOff>0</xdr:rowOff>
    </xdr:to>
    <xdr:sp>
      <xdr:nvSpPr>
        <xdr:cNvPr id="176" name="Rectangle 176"/>
        <xdr:cNvSpPr>
          <a:spLocks/>
        </xdr:cNvSpPr>
      </xdr:nvSpPr>
      <xdr:spPr>
        <a:xfrm>
          <a:off x="6953250" y="24050625"/>
          <a:ext cx="323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128</xdr:row>
      <xdr:rowOff>0</xdr:rowOff>
    </xdr:from>
    <xdr:to>
      <xdr:col>8</xdr:col>
      <xdr:colOff>381000</xdr:colOff>
      <xdr:row>128</xdr:row>
      <xdr:rowOff>0</xdr:rowOff>
    </xdr:to>
    <xdr:sp>
      <xdr:nvSpPr>
        <xdr:cNvPr id="177" name="Rectangle 177"/>
        <xdr:cNvSpPr>
          <a:spLocks/>
        </xdr:cNvSpPr>
      </xdr:nvSpPr>
      <xdr:spPr>
        <a:xfrm>
          <a:off x="5991225" y="24050625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</a:p>
      </xdr:txBody>
    </xdr:sp>
    <xdr:clientData/>
  </xdr:twoCellAnchor>
  <xdr:twoCellAnchor>
    <xdr:from>
      <xdr:col>8</xdr:col>
      <xdr:colOff>123825</xdr:colOff>
      <xdr:row>128</xdr:row>
      <xdr:rowOff>0</xdr:rowOff>
    </xdr:from>
    <xdr:to>
      <xdr:col>8</xdr:col>
      <xdr:colOff>400050</xdr:colOff>
      <xdr:row>128</xdr:row>
      <xdr:rowOff>0</xdr:rowOff>
    </xdr:to>
    <xdr:sp>
      <xdr:nvSpPr>
        <xdr:cNvPr id="178" name="Rectangle 178"/>
        <xdr:cNvSpPr>
          <a:spLocks/>
        </xdr:cNvSpPr>
      </xdr:nvSpPr>
      <xdr:spPr>
        <a:xfrm>
          <a:off x="6076950" y="240506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128</xdr:row>
      <xdr:rowOff>0</xdr:rowOff>
    </xdr:from>
    <xdr:to>
      <xdr:col>8</xdr:col>
      <xdr:colOff>381000</xdr:colOff>
      <xdr:row>128</xdr:row>
      <xdr:rowOff>0</xdr:rowOff>
    </xdr:to>
    <xdr:sp>
      <xdr:nvSpPr>
        <xdr:cNvPr id="179" name="Rectangle 179"/>
        <xdr:cNvSpPr>
          <a:spLocks/>
        </xdr:cNvSpPr>
      </xdr:nvSpPr>
      <xdr:spPr>
        <a:xfrm>
          <a:off x="5991225" y="24050625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</a:p>
      </xdr:txBody>
    </xdr:sp>
    <xdr:clientData/>
  </xdr:twoCellAnchor>
  <xdr:twoCellAnchor>
    <xdr:from>
      <xdr:col>8</xdr:col>
      <xdr:colOff>123825</xdr:colOff>
      <xdr:row>128</xdr:row>
      <xdr:rowOff>0</xdr:rowOff>
    </xdr:from>
    <xdr:to>
      <xdr:col>8</xdr:col>
      <xdr:colOff>400050</xdr:colOff>
      <xdr:row>128</xdr:row>
      <xdr:rowOff>0</xdr:rowOff>
    </xdr:to>
    <xdr:sp>
      <xdr:nvSpPr>
        <xdr:cNvPr id="180" name="Rectangle 180"/>
        <xdr:cNvSpPr>
          <a:spLocks/>
        </xdr:cNvSpPr>
      </xdr:nvSpPr>
      <xdr:spPr>
        <a:xfrm>
          <a:off x="6076950" y="240506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128</xdr:row>
      <xdr:rowOff>0</xdr:rowOff>
    </xdr:from>
    <xdr:to>
      <xdr:col>8</xdr:col>
      <xdr:colOff>381000</xdr:colOff>
      <xdr:row>128</xdr:row>
      <xdr:rowOff>0</xdr:rowOff>
    </xdr:to>
    <xdr:sp>
      <xdr:nvSpPr>
        <xdr:cNvPr id="181" name="Rectangle 181"/>
        <xdr:cNvSpPr>
          <a:spLocks/>
        </xdr:cNvSpPr>
      </xdr:nvSpPr>
      <xdr:spPr>
        <a:xfrm>
          <a:off x="5991225" y="24050625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</a:p>
      </xdr:txBody>
    </xdr:sp>
    <xdr:clientData/>
  </xdr:twoCellAnchor>
  <xdr:twoCellAnchor>
    <xdr:from>
      <xdr:col>8</xdr:col>
      <xdr:colOff>123825</xdr:colOff>
      <xdr:row>128</xdr:row>
      <xdr:rowOff>0</xdr:rowOff>
    </xdr:from>
    <xdr:to>
      <xdr:col>8</xdr:col>
      <xdr:colOff>400050</xdr:colOff>
      <xdr:row>128</xdr:row>
      <xdr:rowOff>0</xdr:rowOff>
    </xdr:to>
    <xdr:sp>
      <xdr:nvSpPr>
        <xdr:cNvPr id="182" name="Rectangle 182"/>
        <xdr:cNvSpPr>
          <a:spLocks/>
        </xdr:cNvSpPr>
      </xdr:nvSpPr>
      <xdr:spPr>
        <a:xfrm>
          <a:off x="6076950" y="240506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85725</xdr:colOff>
      <xdr:row>128</xdr:row>
      <xdr:rowOff>0</xdr:rowOff>
    </xdr:from>
    <xdr:to>
      <xdr:col>10</xdr:col>
      <xdr:colOff>409575</xdr:colOff>
      <xdr:row>128</xdr:row>
      <xdr:rowOff>0</xdr:rowOff>
    </xdr:to>
    <xdr:sp>
      <xdr:nvSpPr>
        <xdr:cNvPr id="183" name="Rectangle 183"/>
        <xdr:cNvSpPr>
          <a:spLocks/>
        </xdr:cNvSpPr>
      </xdr:nvSpPr>
      <xdr:spPr>
        <a:xfrm>
          <a:off x="6953250" y="24050625"/>
          <a:ext cx="323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128</xdr:row>
      <xdr:rowOff>0</xdr:rowOff>
    </xdr:from>
    <xdr:to>
      <xdr:col>8</xdr:col>
      <xdr:colOff>381000</xdr:colOff>
      <xdr:row>128</xdr:row>
      <xdr:rowOff>0</xdr:rowOff>
    </xdr:to>
    <xdr:sp>
      <xdr:nvSpPr>
        <xdr:cNvPr id="184" name="Rectangle 184"/>
        <xdr:cNvSpPr>
          <a:spLocks/>
        </xdr:cNvSpPr>
      </xdr:nvSpPr>
      <xdr:spPr>
        <a:xfrm>
          <a:off x="5991225" y="24050625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</a:p>
      </xdr:txBody>
    </xdr:sp>
    <xdr:clientData/>
  </xdr:twoCellAnchor>
  <xdr:twoCellAnchor>
    <xdr:from>
      <xdr:col>6</xdr:col>
      <xdr:colOff>104775</xdr:colOff>
      <xdr:row>57</xdr:row>
      <xdr:rowOff>9525</xdr:rowOff>
    </xdr:from>
    <xdr:to>
      <xdr:col>6</xdr:col>
      <xdr:colOff>419100</xdr:colOff>
      <xdr:row>57</xdr:row>
      <xdr:rowOff>200025</xdr:rowOff>
    </xdr:to>
    <xdr:sp>
      <xdr:nvSpPr>
        <xdr:cNvPr id="185" name="Rectangle 185"/>
        <xdr:cNvSpPr>
          <a:spLocks/>
        </xdr:cNvSpPr>
      </xdr:nvSpPr>
      <xdr:spPr>
        <a:xfrm>
          <a:off x="5143500" y="12496800"/>
          <a:ext cx="3143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4</xdr:col>
      <xdr:colOff>104775</xdr:colOff>
      <xdr:row>57</xdr:row>
      <xdr:rowOff>9525</xdr:rowOff>
    </xdr:from>
    <xdr:to>
      <xdr:col>4</xdr:col>
      <xdr:colOff>419100</xdr:colOff>
      <xdr:row>57</xdr:row>
      <xdr:rowOff>190500</xdr:rowOff>
    </xdr:to>
    <xdr:sp>
      <xdr:nvSpPr>
        <xdr:cNvPr id="186" name="Rectangle 186"/>
        <xdr:cNvSpPr>
          <a:spLocks/>
        </xdr:cNvSpPr>
      </xdr:nvSpPr>
      <xdr:spPr>
        <a:xfrm>
          <a:off x="4229100" y="12496800"/>
          <a:ext cx="3143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130</xdr:row>
      <xdr:rowOff>0</xdr:rowOff>
    </xdr:from>
    <xdr:to>
      <xdr:col>10</xdr:col>
      <xdr:colOff>314325</xdr:colOff>
      <xdr:row>130</xdr:row>
      <xdr:rowOff>0</xdr:rowOff>
    </xdr:to>
    <xdr:sp>
      <xdr:nvSpPr>
        <xdr:cNvPr id="187" name="Rectangle 187"/>
        <xdr:cNvSpPr>
          <a:spLocks/>
        </xdr:cNvSpPr>
      </xdr:nvSpPr>
      <xdr:spPr>
        <a:xfrm>
          <a:off x="6905625" y="244030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130</xdr:row>
      <xdr:rowOff>0</xdr:rowOff>
    </xdr:from>
    <xdr:to>
      <xdr:col>12</xdr:col>
      <xdr:colOff>314325</xdr:colOff>
      <xdr:row>130</xdr:row>
      <xdr:rowOff>0</xdr:rowOff>
    </xdr:to>
    <xdr:sp>
      <xdr:nvSpPr>
        <xdr:cNvPr id="188" name="Rectangle 188"/>
        <xdr:cNvSpPr>
          <a:spLocks/>
        </xdr:cNvSpPr>
      </xdr:nvSpPr>
      <xdr:spPr>
        <a:xfrm>
          <a:off x="7800975" y="244030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130</xdr:row>
      <xdr:rowOff>0</xdr:rowOff>
    </xdr:from>
    <xdr:to>
      <xdr:col>10</xdr:col>
      <xdr:colOff>314325</xdr:colOff>
      <xdr:row>130</xdr:row>
      <xdr:rowOff>0</xdr:rowOff>
    </xdr:to>
    <xdr:sp>
      <xdr:nvSpPr>
        <xdr:cNvPr id="189" name="Rectangle 189"/>
        <xdr:cNvSpPr>
          <a:spLocks/>
        </xdr:cNvSpPr>
      </xdr:nvSpPr>
      <xdr:spPr>
        <a:xfrm>
          <a:off x="6905625" y="244030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130</xdr:row>
      <xdr:rowOff>0</xdr:rowOff>
    </xdr:from>
    <xdr:to>
      <xdr:col>12</xdr:col>
      <xdr:colOff>314325</xdr:colOff>
      <xdr:row>130</xdr:row>
      <xdr:rowOff>0</xdr:rowOff>
    </xdr:to>
    <xdr:sp>
      <xdr:nvSpPr>
        <xdr:cNvPr id="190" name="Rectangle 190"/>
        <xdr:cNvSpPr>
          <a:spLocks/>
        </xdr:cNvSpPr>
      </xdr:nvSpPr>
      <xdr:spPr>
        <a:xfrm>
          <a:off x="7800975" y="244030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130</xdr:row>
      <xdr:rowOff>0</xdr:rowOff>
    </xdr:from>
    <xdr:to>
      <xdr:col>8</xdr:col>
      <xdr:colOff>314325</xdr:colOff>
      <xdr:row>130</xdr:row>
      <xdr:rowOff>0</xdr:rowOff>
    </xdr:to>
    <xdr:sp>
      <xdr:nvSpPr>
        <xdr:cNvPr id="191" name="Rectangle 191"/>
        <xdr:cNvSpPr>
          <a:spLocks/>
        </xdr:cNvSpPr>
      </xdr:nvSpPr>
      <xdr:spPr>
        <a:xfrm>
          <a:off x="5991225" y="244030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19050</xdr:colOff>
      <xdr:row>130</xdr:row>
      <xdr:rowOff>0</xdr:rowOff>
    </xdr:from>
    <xdr:to>
      <xdr:col>10</xdr:col>
      <xdr:colOff>314325</xdr:colOff>
      <xdr:row>130</xdr:row>
      <xdr:rowOff>0</xdr:rowOff>
    </xdr:to>
    <xdr:sp>
      <xdr:nvSpPr>
        <xdr:cNvPr id="192" name="Rectangle 192"/>
        <xdr:cNvSpPr>
          <a:spLocks/>
        </xdr:cNvSpPr>
      </xdr:nvSpPr>
      <xdr:spPr>
        <a:xfrm>
          <a:off x="6886575" y="244030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38100</xdr:colOff>
      <xdr:row>130</xdr:row>
      <xdr:rowOff>0</xdr:rowOff>
    </xdr:from>
    <xdr:to>
      <xdr:col>12</xdr:col>
      <xdr:colOff>314325</xdr:colOff>
      <xdr:row>130</xdr:row>
      <xdr:rowOff>0</xdr:rowOff>
    </xdr:to>
    <xdr:sp>
      <xdr:nvSpPr>
        <xdr:cNvPr id="193" name="Rectangle 193"/>
        <xdr:cNvSpPr>
          <a:spLocks/>
        </xdr:cNvSpPr>
      </xdr:nvSpPr>
      <xdr:spPr>
        <a:xfrm>
          <a:off x="7820025" y="244030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130</xdr:row>
      <xdr:rowOff>0</xdr:rowOff>
    </xdr:from>
    <xdr:to>
      <xdr:col>8</xdr:col>
      <xdr:colOff>314325</xdr:colOff>
      <xdr:row>130</xdr:row>
      <xdr:rowOff>0</xdr:rowOff>
    </xdr:to>
    <xdr:sp>
      <xdr:nvSpPr>
        <xdr:cNvPr id="194" name="Rectangle 194"/>
        <xdr:cNvSpPr>
          <a:spLocks/>
        </xdr:cNvSpPr>
      </xdr:nvSpPr>
      <xdr:spPr>
        <a:xfrm>
          <a:off x="5991225" y="244030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19050</xdr:colOff>
      <xdr:row>130</xdr:row>
      <xdr:rowOff>0</xdr:rowOff>
    </xdr:from>
    <xdr:to>
      <xdr:col>10</xdr:col>
      <xdr:colOff>314325</xdr:colOff>
      <xdr:row>130</xdr:row>
      <xdr:rowOff>0</xdr:rowOff>
    </xdr:to>
    <xdr:sp>
      <xdr:nvSpPr>
        <xdr:cNvPr id="195" name="Rectangle 195"/>
        <xdr:cNvSpPr>
          <a:spLocks/>
        </xdr:cNvSpPr>
      </xdr:nvSpPr>
      <xdr:spPr>
        <a:xfrm>
          <a:off x="6886575" y="244030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38100</xdr:colOff>
      <xdr:row>130</xdr:row>
      <xdr:rowOff>0</xdr:rowOff>
    </xdr:from>
    <xdr:to>
      <xdr:col>12</xdr:col>
      <xdr:colOff>314325</xdr:colOff>
      <xdr:row>130</xdr:row>
      <xdr:rowOff>0</xdr:rowOff>
    </xdr:to>
    <xdr:sp>
      <xdr:nvSpPr>
        <xdr:cNvPr id="196" name="Rectangle 196"/>
        <xdr:cNvSpPr>
          <a:spLocks/>
        </xdr:cNvSpPr>
      </xdr:nvSpPr>
      <xdr:spPr>
        <a:xfrm>
          <a:off x="7820025" y="244030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130</xdr:row>
      <xdr:rowOff>0</xdr:rowOff>
    </xdr:from>
    <xdr:to>
      <xdr:col>8</xdr:col>
      <xdr:colOff>314325</xdr:colOff>
      <xdr:row>130</xdr:row>
      <xdr:rowOff>0</xdr:rowOff>
    </xdr:to>
    <xdr:sp>
      <xdr:nvSpPr>
        <xdr:cNvPr id="197" name="Rectangle 197"/>
        <xdr:cNvSpPr>
          <a:spLocks/>
        </xdr:cNvSpPr>
      </xdr:nvSpPr>
      <xdr:spPr>
        <a:xfrm>
          <a:off x="5991225" y="244030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19050</xdr:colOff>
      <xdr:row>130</xdr:row>
      <xdr:rowOff>0</xdr:rowOff>
    </xdr:from>
    <xdr:to>
      <xdr:col>10</xdr:col>
      <xdr:colOff>314325</xdr:colOff>
      <xdr:row>130</xdr:row>
      <xdr:rowOff>0</xdr:rowOff>
    </xdr:to>
    <xdr:sp>
      <xdr:nvSpPr>
        <xdr:cNvPr id="198" name="Rectangle 198"/>
        <xdr:cNvSpPr>
          <a:spLocks/>
        </xdr:cNvSpPr>
      </xdr:nvSpPr>
      <xdr:spPr>
        <a:xfrm>
          <a:off x="6886575" y="244030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130</xdr:row>
      <xdr:rowOff>0</xdr:rowOff>
    </xdr:from>
    <xdr:to>
      <xdr:col>10</xdr:col>
      <xdr:colOff>314325</xdr:colOff>
      <xdr:row>130</xdr:row>
      <xdr:rowOff>0</xdr:rowOff>
    </xdr:to>
    <xdr:sp>
      <xdr:nvSpPr>
        <xdr:cNvPr id="199" name="Rectangle 199"/>
        <xdr:cNvSpPr>
          <a:spLocks/>
        </xdr:cNvSpPr>
      </xdr:nvSpPr>
      <xdr:spPr>
        <a:xfrm>
          <a:off x="6905625" y="244030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130</xdr:row>
      <xdr:rowOff>0</xdr:rowOff>
    </xdr:from>
    <xdr:to>
      <xdr:col>12</xdr:col>
      <xdr:colOff>314325</xdr:colOff>
      <xdr:row>130</xdr:row>
      <xdr:rowOff>0</xdr:rowOff>
    </xdr:to>
    <xdr:sp>
      <xdr:nvSpPr>
        <xdr:cNvPr id="200" name="Rectangle 200"/>
        <xdr:cNvSpPr>
          <a:spLocks/>
        </xdr:cNvSpPr>
      </xdr:nvSpPr>
      <xdr:spPr>
        <a:xfrm>
          <a:off x="7800975" y="244030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6</xdr:col>
      <xdr:colOff>38100</xdr:colOff>
      <xdr:row>130</xdr:row>
      <xdr:rowOff>0</xdr:rowOff>
    </xdr:from>
    <xdr:to>
      <xdr:col>6</xdr:col>
      <xdr:colOff>314325</xdr:colOff>
      <xdr:row>130</xdr:row>
      <xdr:rowOff>0</xdr:rowOff>
    </xdr:to>
    <xdr:sp>
      <xdr:nvSpPr>
        <xdr:cNvPr id="201" name="Rectangle 201"/>
        <xdr:cNvSpPr>
          <a:spLocks/>
        </xdr:cNvSpPr>
      </xdr:nvSpPr>
      <xdr:spPr>
        <a:xfrm>
          <a:off x="5076825" y="244030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130</xdr:row>
      <xdr:rowOff>0</xdr:rowOff>
    </xdr:from>
    <xdr:to>
      <xdr:col>12</xdr:col>
      <xdr:colOff>314325</xdr:colOff>
      <xdr:row>130</xdr:row>
      <xdr:rowOff>0</xdr:rowOff>
    </xdr:to>
    <xdr:sp>
      <xdr:nvSpPr>
        <xdr:cNvPr id="202" name="Rectangle 202"/>
        <xdr:cNvSpPr>
          <a:spLocks/>
        </xdr:cNvSpPr>
      </xdr:nvSpPr>
      <xdr:spPr>
        <a:xfrm>
          <a:off x="7800975" y="244030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19050</xdr:colOff>
      <xdr:row>130</xdr:row>
      <xdr:rowOff>0</xdr:rowOff>
    </xdr:from>
    <xdr:to>
      <xdr:col>8</xdr:col>
      <xdr:colOff>314325</xdr:colOff>
      <xdr:row>130</xdr:row>
      <xdr:rowOff>0</xdr:rowOff>
    </xdr:to>
    <xdr:sp>
      <xdr:nvSpPr>
        <xdr:cNvPr id="203" name="Rectangle 203"/>
        <xdr:cNvSpPr>
          <a:spLocks/>
        </xdr:cNvSpPr>
      </xdr:nvSpPr>
      <xdr:spPr>
        <a:xfrm>
          <a:off x="5972175" y="244030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130</xdr:row>
      <xdr:rowOff>0</xdr:rowOff>
    </xdr:from>
    <xdr:to>
      <xdr:col>10</xdr:col>
      <xdr:colOff>314325</xdr:colOff>
      <xdr:row>130</xdr:row>
      <xdr:rowOff>0</xdr:rowOff>
    </xdr:to>
    <xdr:sp>
      <xdr:nvSpPr>
        <xdr:cNvPr id="204" name="Rectangle 204"/>
        <xdr:cNvSpPr>
          <a:spLocks/>
        </xdr:cNvSpPr>
      </xdr:nvSpPr>
      <xdr:spPr>
        <a:xfrm>
          <a:off x="6905625" y="244030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130</xdr:row>
      <xdr:rowOff>0</xdr:rowOff>
    </xdr:from>
    <xdr:to>
      <xdr:col>10</xdr:col>
      <xdr:colOff>314325</xdr:colOff>
      <xdr:row>130</xdr:row>
      <xdr:rowOff>0</xdr:rowOff>
    </xdr:to>
    <xdr:sp>
      <xdr:nvSpPr>
        <xdr:cNvPr id="205" name="Rectangle 205"/>
        <xdr:cNvSpPr>
          <a:spLocks/>
        </xdr:cNvSpPr>
      </xdr:nvSpPr>
      <xdr:spPr>
        <a:xfrm>
          <a:off x="6905625" y="244030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130</xdr:row>
      <xdr:rowOff>0</xdr:rowOff>
    </xdr:from>
    <xdr:to>
      <xdr:col>12</xdr:col>
      <xdr:colOff>314325</xdr:colOff>
      <xdr:row>130</xdr:row>
      <xdr:rowOff>0</xdr:rowOff>
    </xdr:to>
    <xdr:sp>
      <xdr:nvSpPr>
        <xdr:cNvPr id="206" name="Rectangle 206"/>
        <xdr:cNvSpPr>
          <a:spLocks/>
        </xdr:cNvSpPr>
      </xdr:nvSpPr>
      <xdr:spPr>
        <a:xfrm>
          <a:off x="7800975" y="244030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130</xdr:row>
      <xdr:rowOff>0</xdr:rowOff>
    </xdr:from>
    <xdr:to>
      <xdr:col>8</xdr:col>
      <xdr:colOff>314325</xdr:colOff>
      <xdr:row>130</xdr:row>
      <xdr:rowOff>0</xdr:rowOff>
    </xdr:to>
    <xdr:sp>
      <xdr:nvSpPr>
        <xdr:cNvPr id="207" name="Rectangle 207"/>
        <xdr:cNvSpPr>
          <a:spLocks/>
        </xdr:cNvSpPr>
      </xdr:nvSpPr>
      <xdr:spPr>
        <a:xfrm>
          <a:off x="5991225" y="244030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19050</xdr:colOff>
      <xdr:row>130</xdr:row>
      <xdr:rowOff>0</xdr:rowOff>
    </xdr:from>
    <xdr:to>
      <xdr:col>10</xdr:col>
      <xdr:colOff>314325</xdr:colOff>
      <xdr:row>130</xdr:row>
      <xdr:rowOff>0</xdr:rowOff>
    </xdr:to>
    <xdr:sp>
      <xdr:nvSpPr>
        <xdr:cNvPr id="208" name="Rectangle 208"/>
        <xdr:cNvSpPr>
          <a:spLocks/>
        </xdr:cNvSpPr>
      </xdr:nvSpPr>
      <xdr:spPr>
        <a:xfrm>
          <a:off x="6886575" y="244030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38100</xdr:colOff>
      <xdr:row>130</xdr:row>
      <xdr:rowOff>0</xdr:rowOff>
    </xdr:from>
    <xdr:to>
      <xdr:col>12</xdr:col>
      <xdr:colOff>314325</xdr:colOff>
      <xdr:row>130</xdr:row>
      <xdr:rowOff>0</xdr:rowOff>
    </xdr:to>
    <xdr:sp>
      <xdr:nvSpPr>
        <xdr:cNvPr id="209" name="Rectangle 209"/>
        <xdr:cNvSpPr>
          <a:spLocks/>
        </xdr:cNvSpPr>
      </xdr:nvSpPr>
      <xdr:spPr>
        <a:xfrm>
          <a:off x="7820025" y="244030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130</xdr:row>
      <xdr:rowOff>0</xdr:rowOff>
    </xdr:from>
    <xdr:to>
      <xdr:col>8</xdr:col>
      <xdr:colOff>314325</xdr:colOff>
      <xdr:row>130</xdr:row>
      <xdr:rowOff>0</xdr:rowOff>
    </xdr:to>
    <xdr:sp>
      <xdr:nvSpPr>
        <xdr:cNvPr id="210" name="Rectangle 210"/>
        <xdr:cNvSpPr>
          <a:spLocks/>
        </xdr:cNvSpPr>
      </xdr:nvSpPr>
      <xdr:spPr>
        <a:xfrm>
          <a:off x="5991225" y="244030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19050</xdr:colOff>
      <xdr:row>130</xdr:row>
      <xdr:rowOff>0</xdr:rowOff>
    </xdr:from>
    <xdr:to>
      <xdr:col>10</xdr:col>
      <xdr:colOff>314325</xdr:colOff>
      <xdr:row>130</xdr:row>
      <xdr:rowOff>0</xdr:rowOff>
    </xdr:to>
    <xdr:sp>
      <xdr:nvSpPr>
        <xdr:cNvPr id="211" name="Rectangle 211"/>
        <xdr:cNvSpPr>
          <a:spLocks/>
        </xdr:cNvSpPr>
      </xdr:nvSpPr>
      <xdr:spPr>
        <a:xfrm>
          <a:off x="6886575" y="244030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38100</xdr:colOff>
      <xdr:row>130</xdr:row>
      <xdr:rowOff>0</xdr:rowOff>
    </xdr:from>
    <xdr:to>
      <xdr:col>12</xdr:col>
      <xdr:colOff>314325</xdr:colOff>
      <xdr:row>130</xdr:row>
      <xdr:rowOff>0</xdr:rowOff>
    </xdr:to>
    <xdr:sp>
      <xdr:nvSpPr>
        <xdr:cNvPr id="212" name="Rectangle 212"/>
        <xdr:cNvSpPr>
          <a:spLocks/>
        </xdr:cNvSpPr>
      </xdr:nvSpPr>
      <xdr:spPr>
        <a:xfrm>
          <a:off x="7820025" y="244030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130</xdr:row>
      <xdr:rowOff>0</xdr:rowOff>
    </xdr:from>
    <xdr:to>
      <xdr:col>10</xdr:col>
      <xdr:colOff>314325</xdr:colOff>
      <xdr:row>130</xdr:row>
      <xdr:rowOff>0</xdr:rowOff>
    </xdr:to>
    <xdr:sp>
      <xdr:nvSpPr>
        <xdr:cNvPr id="213" name="Rectangle 213"/>
        <xdr:cNvSpPr>
          <a:spLocks/>
        </xdr:cNvSpPr>
      </xdr:nvSpPr>
      <xdr:spPr>
        <a:xfrm>
          <a:off x="6905625" y="244030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130</xdr:row>
      <xdr:rowOff>0</xdr:rowOff>
    </xdr:from>
    <xdr:to>
      <xdr:col>12</xdr:col>
      <xdr:colOff>314325</xdr:colOff>
      <xdr:row>130</xdr:row>
      <xdr:rowOff>0</xdr:rowOff>
    </xdr:to>
    <xdr:sp>
      <xdr:nvSpPr>
        <xdr:cNvPr id="214" name="Rectangle 214"/>
        <xdr:cNvSpPr>
          <a:spLocks/>
        </xdr:cNvSpPr>
      </xdr:nvSpPr>
      <xdr:spPr>
        <a:xfrm>
          <a:off x="7800975" y="244030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130</xdr:row>
      <xdr:rowOff>0</xdr:rowOff>
    </xdr:from>
    <xdr:to>
      <xdr:col>10</xdr:col>
      <xdr:colOff>314325</xdr:colOff>
      <xdr:row>130</xdr:row>
      <xdr:rowOff>0</xdr:rowOff>
    </xdr:to>
    <xdr:sp>
      <xdr:nvSpPr>
        <xdr:cNvPr id="215" name="Rectangle 215"/>
        <xdr:cNvSpPr>
          <a:spLocks/>
        </xdr:cNvSpPr>
      </xdr:nvSpPr>
      <xdr:spPr>
        <a:xfrm>
          <a:off x="6905625" y="244030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130</xdr:row>
      <xdr:rowOff>0</xdr:rowOff>
    </xdr:from>
    <xdr:to>
      <xdr:col>12</xdr:col>
      <xdr:colOff>314325</xdr:colOff>
      <xdr:row>130</xdr:row>
      <xdr:rowOff>0</xdr:rowOff>
    </xdr:to>
    <xdr:sp>
      <xdr:nvSpPr>
        <xdr:cNvPr id="216" name="Rectangle 216"/>
        <xdr:cNvSpPr>
          <a:spLocks/>
        </xdr:cNvSpPr>
      </xdr:nvSpPr>
      <xdr:spPr>
        <a:xfrm>
          <a:off x="7800975" y="244030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130</xdr:row>
      <xdr:rowOff>0</xdr:rowOff>
    </xdr:from>
    <xdr:to>
      <xdr:col>10</xdr:col>
      <xdr:colOff>314325</xdr:colOff>
      <xdr:row>130</xdr:row>
      <xdr:rowOff>0</xdr:rowOff>
    </xdr:to>
    <xdr:sp>
      <xdr:nvSpPr>
        <xdr:cNvPr id="217" name="Rectangle 217"/>
        <xdr:cNvSpPr>
          <a:spLocks/>
        </xdr:cNvSpPr>
      </xdr:nvSpPr>
      <xdr:spPr>
        <a:xfrm>
          <a:off x="6905625" y="244030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130</xdr:row>
      <xdr:rowOff>0</xdr:rowOff>
    </xdr:from>
    <xdr:to>
      <xdr:col>12</xdr:col>
      <xdr:colOff>314325</xdr:colOff>
      <xdr:row>130</xdr:row>
      <xdr:rowOff>0</xdr:rowOff>
    </xdr:to>
    <xdr:sp>
      <xdr:nvSpPr>
        <xdr:cNvPr id="218" name="Rectangle 218"/>
        <xdr:cNvSpPr>
          <a:spLocks/>
        </xdr:cNvSpPr>
      </xdr:nvSpPr>
      <xdr:spPr>
        <a:xfrm>
          <a:off x="7800975" y="244030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123825</xdr:colOff>
      <xdr:row>130</xdr:row>
      <xdr:rowOff>0</xdr:rowOff>
    </xdr:from>
    <xdr:to>
      <xdr:col>8</xdr:col>
      <xdr:colOff>400050</xdr:colOff>
      <xdr:row>130</xdr:row>
      <xdr:rowOff>0</xdr:rowOff>
    </xdr:to>
    <xdr:sp>
      <xdr:nvSpPr>
        <xdr:cNvPr id="219" name="Rectangle 219"/>
        <xdr:cNvSpPr>
          <a:spLocks/>
        </xdr:cNvSpPr>
      </xdr:nvSpPr>
      <xdr:spPr>
        <a:xfrm>
          <a:off x="6076950" y="244030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85725</xdr:colOff>
      <xdr:row>130</xdr:row>
      <xdr:rowOff>0</xdr:rowOff>
    </xdr:from>
    <xdr:to>
      <xdr:col>10</xdr:col>
      <xdr:colOff>409575</xdr:colOff>
      <xdr:row>130</xdr:row>
      <xdr:rowOff>0</xdr:rowOff>
    </xdr:to>
    <xdr:sp>
      <xdr:nvSpPr>
        <xdr:cNvPr id="220" name="Rectangle 220"/>
        <xdr:cNvSpPr>
          <a:spLocks/>
        </xdr:cNvSpPr>
      </xdr:nvSpPr>
      <xdr:spPr>
        <a:xfrm>
          <a:off x="6953250" y="24403050"/>
          <a:ext cx="323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130</xdr:row>
      <xdr:rowOff>0</xdr:rowOff>
    </xdr:from>
    <xdr:to>
      <xdr:col>8</xdr:col>
      <xdr:colOff>381000</xdr:colOff>
      <xdr:row>130</xdr:row>
      <xdr:rowOff>0</xdr:rowOff>
    </xdr:to>
    <xdr:sp>
      <xdr:nvSpPr>
        <xdr:cNvPr id="221" name="Rectangle 221"/>
        <xdr:cNvSpPr>
          <a:spLocks/>
        </xdr:cNvSpPr>
      </xdr:nvSpPr>
      <xdr:spPr>
        <a:xfrm>
          <a:off x="5991225" y="24403050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</a:p>
      </xdr:txBody>
    </xdr:sp>
    <xdr:clientData/>
  </xdr:twoCellAnchor>
  <xdr:twoCellAnchor>
    <xdr:from>
      <xdr:col>8</xdr:col>
      <xdr:colOff>123825</xdr:colOff>
      <xdr:row>130</xdr:row>
      <xdr:rowOff>0</xdr:rowOff>
    </xdr:from>
    <xdr:to>
      <xdr:col>8</xdr:col>
      <xdr:colOff>400050</xdr:colOff>
      <xdr:row>130</xdr:row>
      <xdr:rowOff>0</xdr:rowOff>
    </xdr:to>
    <xdr:sp>
      <xdr:nvSpPr>
        <xdr:cNvPr id="222" name="Rectangle 222"/>
        <xdr:cNvSpPr>
          <a:spLocks/>
        </xdr:cNvSpPr>
      </xdr:nvSpPr>
      <xdr:spPr>
        <a:xfrm>
          <a:off x="6076950" y="244030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130</xdr:row>
      <xdr:rowOff>0</xdr:rowOff>
    </xdr:from>
    <xdr:to>
      <xdr:col>8</xdr:col>
      <xdr:colOff>381000</xdr:colOff>
      <xdr:row>130</xdr:row>
      <xdr:rowOff>0</xdr:rowOff>
    </xdr:to>
    <xdr:sp>
      <xdr:nvSpPr>
        <xdr:cNvPr id="223" name="Rectangle 223"/>
        <xdr:cNvSpPr>
          <a:spLocks/>
        </xdr:cNvSpPr>
      </xdr:nvSpPr>
      <xdr:spPr>
        <a:xfrm>
          <a:off x="5991225" y="24403050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</a:p>
      </xdr:txBody>
    </xdr:sp>
    <xdr:clientData/>
  </xdr:twoCellAnchor>
  <xdr:twoCellAnchor>
    <xdr:from>
      <xdr:col>8</xdr:col>
      <xdr:colOff>123825</xdr:colOff>
      <xdr:row>130</xdr:row>
      <xdr:rowOff>0</xdr:rowOff>
    </xdr:from>
    <xdr:to>
      <xdr:col>8</xdr:col>
      <xdr:colOff>400050</xdr:colOff>
      <xdr:row>130</xdr:row>
      <xdr:rowOff>0</xdr:rowOff>
    </xdr:to>
    <xdr:sp>
      <xdr:nvSpPr>
        <xdr:cNvPr id="224" name="Rectangle 224"/>
        <xdr:cNvSpPr>
          <a:spLocks/>
        </xdr:cNvSpPr>
      </xdr:nvSpPr>
      <xdr:spPr>
        <a:xfrm>
          <a:off x="6076950" y="244030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130</xdr:row>
      <xdr:rowOff>0</xdr:rowOff>
    </xdr:from>
    <xdr:to>
      <xdr:col>8</xdr:col>
      <xdr:colOff>381000</xdr:colOff>
      <xdr:row>130</xdr:row>
      <xdr:rowOff>0</xdr:rowOff>
    </xdr:to>
    <xdr:sp>
      <xdr:nvSpPr>
        <xdr:cNvPr id="225" name="Rectangle 225"/>
        <xdr:cNvSpPr>
          <a:spLocks/>
        </xdr:cNvSpPr>
      </xdr:nvSpPr>
      <xdr:spPr>
        <a:xfrm>
          <a:off x="5991225" y="24403050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</a:p>
      </xdr:txBody>
    </xdr:sp>
    <xdr:clientData/>
  </xdr:twoCellAnchor>
  <xdr:twoCellAnchor>
    <xdr:from>
      <xdr:col>8</xdr:col>
      <xdr:colOff>123825</xdr:colOff>
      <xdr:row>130</xdr:row>
      <xdr:rowOff>0</xdr:rowOff>
    </xdr:from>
    <xdr:to>
      <xdr:col>8</xdr:col>
      <xdr:colOff>400050</xdr:colOff>
      <xdr:row>130</xdr:row>
      <xdr:rowOff>0</xdr:rowOff>
    </xdr:to>
    <xdr:sp>
      <xdr:nvSpPr>
        <xdr:cNvPr id="226" name="Rectangle 226"/>
        <xdr:cNvSpPr>
          <a:spLocks/>
        </xdr:cNvSpPr>
      </xdr:nvSpPr>
      <xdr:spPr>
        <a:xfrm>
          <a:off x="6076950" y="244030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85725</xdr:colOff>
      <xdr:row>130</xdr:row>
      <xdr:rowOff>0</xdr:rowOff>
    </xdr:from>
    <xdr:to>
      <xdr:col>10</xdr:col>
      <xdr:colOff>409575</xdr:colOff>
      <xdr:row>130</xdr:row>
      <xdr:rowOff>0</xdr:rowOff>
    </xdr:to>
    <xdr:sp>
      <xdr:nvSpPr>
        <xdr:cNvPr id="227" name="Rectangle 227"/>
        <xdr:cNvSpPr>
          <a:spLocks/>
        </xdr:cNvSpPr>
      </xdr:nvSpPr>
      <xdr:spPr>
        <a:xfrm>
          <a:off x="6953250" y="24403050"/>
          <a:ext cx="323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130</xdr:row>
      <xdr:rowOff>0</xdr:rowOff>
    </xdr:from>
    <xdr:to>
      <xdr:col>8</xdr:col>
      <xdr:colOff>381000</xdr:colOff>
      <xdr:row>130</xdr:row>
      <xdr:rowOff>0</xdr:rowOff>
    </xdr:to>
    <xdr:sp>
      <xdr:nvSpPr>
        <xdr:cNvPr id="228" name="Rectangle 228"/>
        <xdr:cNvSpPr>
          <a:spLocks/>
        </xdr:cNvSpPr>
      </xdr:nvSpPr>
      <xdr:spPr>
        <a:xfrm>
          <a:off x="5991225" y="24403050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</a:p>
      </xdr:txBody>
    </xdr:sp>
    <xdr:clientData/>
  </xdr:twoCellAnchor>
  <xdr:twoCellAnchor>
    <xdr:from>
      <xdr:col>10</xdr:col>
      <xdr:colOff>38100</xdr:colOff>
      <xdr:row>130</xdr:row>
      <xdr:rowOff>0</xdr:rowOff>
    </xdr:from>
    <xdr:to>
      <xdr:col>10</xdr:col>
      <xdr:colOff>314325</xdr:colOff>
      <xdr:row>130</xdr:row>
      <xdr:rowOff>0</xdr:rowOff>
    </xdr:to>
    <xdr:sp>
      <xdr:nvSpPr>
        <xdr:cNvPr id="229" name="Rectangle 229"/>
        <xdr:cNvSpPr>
          <a:spLocks/>
        </xdr:cNvSpPr>
      </xdr:nvSpPr>
      <xdr:spPr>
        <a:xfrm>
          <a:off x="6905625" y="244030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130</xdr:row>
      <xdr:rowOff>0</xdr:rowOff>
    </xdr:from>
    <xdr:to>
      <xdr:col>12</xdr:col>
      <xdr:colOff>314325</xdr:colOff>
      <xdr:row>130</xdr:row>
      <xdr:rowOff>0</xdr:rowOff>
    </xdr:to>
    <xdr:sp>
      <xdr:nvSpPr>
        <xdr:cNvPr id="230" name="Rectangle 230"/>
        <xdr:cNvSpPr>
          <a:spLocks/>
        </xdr:cNvSpPr>
      </xdr:nvSpPr>
      <xdr:spPr>
        <a:xfrm>
          <a:off x="7800975" y="244030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130</xdr:row>
      <xdr:rowOff>0</xdr:rowOff>
    </xdr:from>
    <xdr:to>
      <xdr:col>10</xdr:col>
      <xdr:colOff>314325</xdr:colOff>
      <xdr:row>130</xdr:row>
      <xdr:rowOff>0</xdr:rowOff>
    </xdr:to>
    <xdr:sp>
      <xdr:nvSpPr>
        <xdr:cNvPr id="231" name="Rectangle 231"/>
        <xdr:cNvSpPr>
          <a:spLocks/>
        </xdr:cNvSpPr>
      </xdr:nvSpPr>
      <xdr:spPr>
        <a:xfrm>
          <a:off x="6905625" y="244030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130</xdr:row>
      <xdr:rowOff>0</xdr:rowOff>
    </xdr:from>
    <xdr:to>
      <xdr:col>12</xdr:col>
      <xdr:colOff>314325</xdr:colOff>
      <xdr:row>130</xdr:row>
      <xdr:rowOff>0</xdr:rowOff>
    </xdr:to>
    <xdr:sp>
      <xdr:nvSpPr>
        <xdr:cNvPr id="232" name="Rectangle 232"/>
        <xdr:cNvSpPr>
          <a:spLocks/>
        </xdr:cNvSpPr>
      </xdr:nvSpPr>
      <xdr:spPr>
        <a:xfrm>
          <a:off x="7800975" y="244030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130</xdr:row>
      <xdr:rowOff>0</xdr:rowOff>
    </xdr:from>
    <xdr:to>
      <xdr:col>8</xdr:col>
      <xdr:colOff>314325</xdr:colOff>
      <xdr:row>130</xdr:row>
      <xdr:rowOff>0</xdr:rowOff>
    </xdr:to>
    <xdr:sp>
      <xdr:nvSpPr>
        <xdr:cNvPr id="233" name="Rectangle 233"/>
        <xdr:cNvSpPr>
          <a:spLocks/>
        </xdr:cNvSpPr>
      </xdr:nvSpPr>
      <xdr:spPr>
        <a:xfrm>
          <a:off x="5991225" y="244030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19050</xdr:colOff>
      <xdr:row>130</xdr:row>
      <xdr:rowOff>0</xdr:rowOff>
    </xdr:from>
    <xdr:to>
      <xdr:col>10</xdr:col>
      <xdr:colOff>314325</xdr:colOff>
      <xdr:row>130</xdr:row>
      <xdr:rowOff>0</xdr:rowOff>
    </xdr:to>
    <xdr:sp>
      <xdr:nvSpPr>
        <xdr:cNvPr id="234" name="Rectangle 234"/>
        <xdr:cNvSpPr>
          <a:spLocks/>
        </xdr:cNvSpPr>
      </xdr:nvSpPr>
      <xdr:spPr>
        <a:xfrm>
          <a:off x="6886575" y="244030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38100</xdr:colOff>
      <xdr:row>130</xdr:row>
      <xdr:rowOff>0</xdr:rowOff>
    </xdr:from>
    <xdr:to>
      <xdr:col>12</xdr:col>
      <xdr:colOff>314325</xdr:colOff>
      <xdr:row>130</xdr:row>
      <xdr:rowOff>0</xdr:rowOff>
    </xdr:to>
    <xdr:sp>
      <xdr:nvSpPr>
        <xdr:cNvPr id="235" name="Rectangle 235"/>
        <xdr:cNvSpPr>
          <a:spLocks/>
        </xdr:cNvSpPr>
      </xdr:nvSpPr>
      <xdr:spPr>
        <a:xfrm>
          <a:off x="7820025" y="244030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130</xdr:row>
      <xdr:rowOff>0</xdr:rowOff>
    </xdr:from>
    <xdr:to>
      <xdr:col>8</xdr:col>
      <xdr:colOff>314325</xdr:colOff>
      <xdr:row>130</xdr:row>
      <xdr:rowOff>0</xdr:rowOff>
    </xdr:to>
    <xdr:sp>
      <xdr:nvSpPr>
        <xdr:cNvPr id="236" name="Rectangle 236"/>
        <xdr:cNvSpPr>
          <a:spLocks/>
        </xdr:cNvSpPr>
      </xdr:nvSpPr>
      <xdr:spPr>
        <a:xfrm>
          <a:off x="5991225" y="244030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19050</xdr:colOff>
      <xdr:row>130</xdr:row>
      <xdr:rowOff>0</xdr:rowOff>
    </xdr:from>
    <xdr:to>
      <xdr:col>10</xdr:col>
      <xdr:colOff>314325</xdr:colOff>
      <xdr:row>130</xdr:row>
      <xdr:rowOff>0</xdr:rowOff>
    </xdr:to>
    <xdr:sp>
      <xdr:nvSpPr>
        <xdr:cNvPr id="237" name="Rectangle 237"/>
        <xdr:cNvSpPr>
          <a:spLocks/>
        </xdr:cNvSpPr>
      </xdr:nvSpPr>
      <xdr:spPr>
        <a:xfrm>
          <a:off x="6886575" y="244030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38100</xdr:colOff>
      <xdr:row>130</xdr:row>
      <xdr:rowOff>0</xdr:rowOff>
    </xdr:from>
    <xdr:to>
      <xdr:col>12</xdr:col>
      <xdr:colOff>314325</xdr:colOff>
      <xdr:row>130</xdr:row>
      <xdr:rowOff>0</xdr:rowOff>
    </xdr:to>
    <xdr:sp>
      <xdr:nvSpPr>
        <xdr:cNvPr id="238" name="Rectangle 238"/>
        <xdr:cNvSpPr>
          <a:spLocks/>
        </xdr:cNvSpPr>
      </xdr:nvSpPr>
      <xdr:spPr>
        <a:xfrm>
          <a:off x="7820025" y="244030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130</xdr:row>
      <xdr:rowOff>0</xdr:rowOff>
    </xdr:from>
    <xdr:to>
      <xdr:col>8</xdr:col>
      <xdr:colOff>314325</xdr:colOff>
      <xdr:row>130</xdr:row>
      <xdr:rowOff>0</xdr:rowOff>
    </xdr:to>
    <xdr:sp>
      <xdr:nvSpPr>
        <xdr:cNvPr id="239" name="Rectangle 239"/>
        <xdr:cNvSpPr>
          <a:spLocks/>
        </xdr:cNvSpPr>
      </xdr:nvSpPr>
      <xdr:spPr>
        <a:xfrm>
          <a:off x="5991225" y="244030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19050</xdr:colOff>
      <xdr:row>130</xdr:row>
      <xdr:rowOff>0</xdr:rowOff>
    </xdr:from>
    <xdr:to>
      <xdr:col>10</xdr:col>
      <xdr:colOff>314325</xdr:colOff>
      <xdr:row>130</xdr:row>
      <xdr:rowOff>0</xdr:rowOff>
    </xdr:to>
    <xdr:sp>
      <xdr:nvSpPr>
        <xdr:cNvPr id="240" name="Rectangle 240"/>
        <xdr:cNvSpPr>
          <a:spLocks/>
        </xdr:cNvSpPr>
      </xdr:nvSpPr>
      <xdr:spPr>
        <a:xfrm>
          <a:off x="6886575" y="244030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130</xdr:row>
      <xdr:rowOff>0</xdr:rowOff>
    </xdr:from>
    <xdr:to>
      <xdr:col>10</xdr:col>
      <xdr:colOff>314325</xdr:colOff>
      <xdr:row>130</xdr:row>
      <xdr:rowOff>0</xdr:rowOff>
    </xdr:to>
    <xdr:sp>
      <xdr:nvSpPr>
        <xdr:cNvPr id="241" name="Rectangle 241"/>
        <xdr:cNvSpPr>
          <a:spLocks/>
        </xdr:cNvSpPr>
      </xdr:nvSpPr>
      <xdr:spPr>
        <a:xfrm>
          <a:off x="6905625" y="244030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130</xdr:row>
      <xdr:rowOff>0</xdr:rowOff>
    </xdr:from>
    <xdr:to>
      <xdr:col>12</xdr:col>
      <xdr:colOff>314325</xdr:colOff>
      <xdr:row>130</xdr:row>
      <xdr:rowOff>0</xdr:rowOff>
    </xdr:to>
    <xdr:sp>
      <xdr:nvSpPr>
        <xdr:cNvPr id="242" name="Rectangle 242"/>
        <xdr:cNvSpPr>
          <a:spLocks/>
        </xdr:cNvSpPr>
      </xdr:nvSpPr>
      <xdr:spPr>
        <a:xfrm>
          <a:off x="7800975" y="244030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6</xdr:col>
      <xdr:colOff>38100</xdr:colOff>
      <xdr:row>130</xdr:row>
      <xdr:rowOff>0</xdr:rowOff>
    </xdr:from>
    <xdr:to>
      <xdr:col>6</xdr:col>
      <xdr:colOff>314325</xdr:colOff>
      <xdr:row>130</xdr:row>
      <xdr:rowOff>0</xdr:rowOff>
    </xdr:to>
    <xdr:sp>
      <xdr:nvSpPr>
        <xdr:cNvPr id="243" name="Rectangle 243"/>
        <xdr:cNvSpPr>
          <a:spLocks/>
        </xdr:cNvSpPr>
      </xdr:nvSpPr>
      <xdr:spPr>
        <a:xfrm>
          <a:off x="5076825" y="244030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6</xdr:col>
      <xdr:colOff>19050</xdr:colOff>
      <xdr:row>130</xdr:row>
      <xdr:rowOff>0</xdr:rowOff>
    </xdr:from>
    <xdr:to>
      <xdr:col>6</xdr:col>
      <xdr:colOff>314325</xdr:colOff>
      <xdr:row>130</xdr:row>
      <xdr:rowOff>0</xdr:rowOff>
    </xdr:to>
    <xdr:sp>
      <xdr:nvSpPr>
        <xdr:cNvPr id="244" name="Rectangle 244"/>
        <xdr:cNvSpPr>
          <a:spLocks/>
        </xdr:cNvSpPr>
      </xdr:nvSpPr>
      <xdr:spPr>
        <a:xfrm>
          <a:off x="5057775" y="244030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38100</xdr:colOff>
      <xdr:row>130</xdr:row>
      <xdr:rowOff>0</xdr:rowOff>
    </xdr:from>
    <xdr:to>
      <xdr:col>12</xdr:col>
      <xdr:colOff>314325</xdr:colOff>
      <xdr:row>130</xdr:row>
      <xdr:rowOff>0</xdr:rowOff>
    </xdr:to>
    <xdr:sp>
      <xdr:nvSpPr>
        <xdr:cNvPr id="245" name="Rectangle 245"/>
        <xdr:cNvSpPr>
          <a:spLocks/>
        </xdr:cNvSpPr>
      </xdr:nvSpPr>
      <xdr:spPr>
        <a:xfrm>
          <a:off x="7820025" y="244030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19050</xdr:colOff>
      <xdr:row>130</xdr:row>
      <xdr:rowOff>0</xdr:rowOff>
    </xdr:from>
    <xdr:to>
      <xdr:col>8</xdr:col>
      <xdr:colOff>314325</xdr:colOff>
      <xdr:row>130</xdr:row>
      <xdr:rowOff>0</xdr:rowOff>
    </xdr:to>
    <xdr:sp>
      <xdr:nvSpPr>
        <xdr:cNvPr id="246" name="Rectangle 246"/>
        <xdr:cNvSpPr>
          <a:spLocks/>
        </xdr:cNvSpPr>
      </xdr:nvSpPr>
      <xdr:spPr>
        <a:xfrm>
          <a:off x="5972175" y="244030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130</xdr:row>
      <xdr:rowOff>0</xdr:rowOff>
    </xdr:from>
    <xdr:to>
      <xdr:col>10</xdr:col>
      <xdr:colOff>314325</xdr:colOff>
      <xdr:row>130</xdr:row>
      <xdr:rowOff>0</xdr:rowOff>
    </xdr:to>
    <xdr:sp>
      <xdr:nvSpPr>
        <xdr:cNvPr id="247" name="Rectangle 247"/>
        <xdr:cNvSpPr>
          <a:spLocks/>
        </xdr:cNvSpPr>
      </xdr:nvSpPr>
      <xdr:spPr>
        <a:xfrm>
          <a:off x="6905625" y="244030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130</xdr:row>
      <xdr:rowOff>0</xdr:rowOff>
    </xdr:from>
    <xdr:to>
      <xdr:col>10</xdr:col>
      <xdr:colOff>314325</xdr:colOff>
      <xdr:row>130</xdr:row>
      <xdr:rowOff>0</xdr:rowOff>
    </xdr:to>
    <xdr:sp>
      <xdr:nvSpPr>
        <xdr:cNvPr id="248" name="Rectangle 248"/>
        <xdr:cNvSpPr>
          <a:spLocks/>
        </xdr:cNvSpPr>
      </xdr:nvSpPr>
      <xdr:spPr>
        <a:xfrm>
          <a:off x="6905625" y="244030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130</xdr:row>
      <xdr:rowOff>0</xdr:rowOff>
    </xdr:from>
    <xdr:to>
      <xdr:col>12</xdr:col>
      <xdr:colOff>314325</xdr:colOff>
      <xdr:row>130</xdr:row>
      <xdr:rowOff>0</xdr:rowOff>
    </xdr:to>
    <xdr:sp>
      <xdr:nvSpPr>
        <xdr:cNvPr id="249" name="Rectangle 249"/>
        <xdr:cNvSpPr>
          <a:spLocks/>
        </xdr:cNvSpPr>
      </xdr:nvSpPr>
      <xdr:spPr>
        <a:xfrm>
          <a:off x="7800975" y="244030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130</xdr:row>
      <xdr:rowOff>0</xdr:rowOff>
    </xdr:from>
    <xdr:to>
      <xdr:col>8</xdr:col>
      <xdr:colOff>314325</xdr:colOff>
      <xdr:row>130</xdr:row>
      <xdr:rowOff>0</xdr:rowOff>
    </xdr:to>
    <xdr:sp>
      <xdr:nvSpPr>
        <xdr:cNvPr id="250" name="Rectangle 250"/>
        <xdr:cNvSpPr>
          <a:spLocks/>
        </xdr:cNvSpPr>
      </xdr:nvSpPr>
      <xdr:spPr>
        <a:xfrm>
          <a:off x="5991225" y="244030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19050</xdr:colOff>
      <xdr:row>130</xdr:row>
      <xdr:rowOff>0</xdr:rowOff>
    </xdr:from>
    <xdr:to>
      <xdr:col>10</xdr:col>
      <xdr:colOff>314325</xdr:colOff>
      <xdr:row>130</xdr:row>
      <xdr:rowOff>0</xdr:rowOff>
    </xdr:to>
    <xdr:sp>
      <xdr:nvSpPr>
        <xdr:cNvPr id="251" name="Rectangle 251"/>
        <xdr:cNvSpPr>
          <a:spLocks/>
        </xdr:cNvSpPr>
      </xdr:nvSpPr>
      <xdr:spPr>
        <a:xfrm>
          <a:off x="6886575" y="244030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38100</xdr:colOff>
      <xdr:row>130</xdr:row>
      <xdr:rowOff>0</xdr:rowOff>
    </xdr:from>
    <xdr:to>
      <xdr:col>12</xdr:col>
      <xdr:colOff>314325</xdr:colOff>
      <xdr:row>130</xdr:row>
      <xdr:rowOff>0</xdr:rowOff>
    </xdr:to>
    <xdr:sp>
      <xdr:nvSpPr>
        <xdr:cNvPr id="252" name="Rectangle 252"/>
        <xdr:cNvSpPr>
          <a:spLocks/>
        </xdr:cNvSpPr>
      </xdr:nvSpPr>
      <xdr:spPr>
        <a:xfrm>
          <a:off x="7820025" y="244030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130</xdr:row>
      <xdr:rowOff>0</xdr:rowOff>
    </xdr:from>
    <xdr:to>
      <xdr:col>8</xdr:col>
      <xdr:colOff>314325</xdr:colOff>
      <xdr:row>130</xdr:row>
      <xdr:rowOff>0</xdr:rowOff>
    </xdr:to>
    <xdr:sp>
      <xdr:nvSpPr>
        <xdr:cNvPr id="253" name="Rectangle 253"/>
        <xdr:cNvSpPr>
          <a:spLocks/>
        </xdr:cNvSpPr>
      </xdr:nvSpPr>
      <xdr:spPr>
        <a:xfrm>
          <a:off x="5991225" y="244030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19050</xdr:colOff>
      <xdr:row>130</xdr:row>
      <xdr:rowOff>0</xdr:rowOff>
    </xdr:from>
    <xdr:to>
      <xdr:col>10</xdr:col>
      <xdr:colOff>314325</xdr:colOff>
      <xdr:row>130</xdr:row>
      <xdr:rowOff>0</xdr:rowOff>
    </xdr:to>
    <xdr:sp>
      <xdr:nvSpPr>
        <xdr:cNvPr id="254" name="Rectangle 254"/>
        <xdr:cNvSpPr>
          <a:spLocks/>
        </xdr:cNvSpPr>
      </xdr:nvSpPr>
      <xdr:spPr>
        <a:xfrm>
          <a:off x="6886575" y="244030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38100</xdr:colOff>
      <xdr:row>130</xdr:row>
      <xdr:rowOff>0</xdr:rowOff>
    </xdr:from>
    <xdr:to>
      <xdr:col>12</xdr:col>
      <xdr:colOff>314325</xdr:colOff>
      <xdr:row>130</xdr:row>
      <xdr:rowOff>0</xdr:rowOff>
    </xdr:to>
    <xdr:sp>
      <xdr:nvSpPr>
        <xdr:cNvPr id="255" name="Rectangle 255"/>
        <xdr:cNvSpPr>
          <a:spLocks/>
        </xdr:cNvSpPr>
      </xdr:nvSpPr>
      <xdr:spPr>
        <a:xfrm>
          <a:off x="7820025" y="244030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130</xdr:row>
      <xdr:rowOff>0</xdr:rowOff>
    </xdr:from>
    <xdr:to>
      <xdr:col>10</xdr:col>
      <xdr:colOff>314325</xdr:colOff>
      <xdr:row>130</xdr:row>
      <xdr:rowOff>0</xdr:rowOff>
    </xdr:to>
    <xdr:sp>
      <xdr:nvSpPr>
        <xdr:cNvPr id="256" name="Rectangle 256"/>
        <xdr:cNvSpPr>
          <a:spLocks/>
        </xdr:cNvSpPr>
      </xdr:nvSpPr>
      <xdr:spPr>
        <a:xfrm>
          <a:off x="6905625" y="244030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130</xdr:row>
      <xdr:rowOff>0</xdr:rowOff>
    </xdr:from>
    <xdr:to>
      <xdr:col>12</xdr:col>
      <xdr:colOff>314325</xdr:colOff>
      <xdr:row>130</xdr:row>
      <xdr:rowOff>0</xdr:rowOff>
    </xdr:to>
    <xdr:sp>
      <xdr:nvSpPr>
        <xdr:cNvPr id="257" name="Rectangle 257"/>
        <xdr:cNvSpPr>
          <a:spLocks/>
        </xdr:cNvSpPr>
      </xdr:nvSpPr>
      <xdr:spPr>
        <a:xfrm>
          <a:off x="7800975" y="244030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130</xdr:row>
      <xdr:rowOff>0</xdr:rowOff>
    </xdr:from>
    <xdr:to>
      <xdr:col>10</xdr:col>
      <xdr:colOff>314325</xdr:colOff>
      <xdr:row>130</xdr:row>
      <xdr:rowOff>0</xdr:rowOff>
    </xdr:to>
    <xdr:sp>
      <xdr:nvSpPr>
        <xdr:cNvPr id="258" name="Rectangle 258"/>
        <xdr:cNvSpPr>
          <a:spLocks/>
        </xdr:cNvSpPr>
      </xdr:nvSpPr>
      <xdr:spPr>
        <a:xfrm>
          <a:off x="6905625" y="244030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130</xdr:row>
      <xdr:rowOff>0</xdr:rowOff>
    </xdr:from>
    <xdr:to>
      <xdr:col>12</xdr:col>
      <xdr:colOff>314325</xdr:colOff>
      <xdr:row>130</xdr:row>
      <xdr:rowOff>0</xdr:rowOff>
    </xdr:to>
    <xdr:sp>
      <xdr:nvSpPr>
        <xdr:cNvPr id="259" name="Rectangle 259"/>
        <xdr:cNvSpPr>
          <a:spLocks/>
        </xdr:cNvSpPr>
      </xdr:nvSpPr>
      <xdr:spPr>
        <a:xfrm>
          <a:off x="7800975" y="244030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130</xdr:row>
      <xdr:rowOff>0</xdr:rowOff>
    </xdr:from>
    <xdr:to>
      <xdr:col>10</xdr:col>
      <xdr:colOff>314325</xdr:colOff>
      <xdr:row>130</xdr:row>
      <xdr:rowOff>0</xdr:rowOff>
    </xdr:to>
    <xdr:sp>
      <xdr:nvSpPr>
        <xdr:cNvPr id="260" name="Rectangle 260"/>
        <xdr:cNvSpPr>
          <a:spLocks/>
        </xdr:cNvSpPr>
      </xdr:nvSpPr>
      <xdr:spPr>
        <a:xfrm>
          <a:off x="6905625" y="244030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130</xdr:row>
      <xdr:rowOff>0</xdr:rowOff>
    </xdr:from>
    <xdr:to>
      <xdr:col>12</xdr:col>
      <xdr:colOff>314325</xdr:colOff>
      <xdr:row>130</xdr:row>
      <xdr:rowOff>0</xdr:rowOff>
    </xdr:to>
    <xdr:sp>
      <xdr:nvSpPr>
        <xdr:cNvPr id="261" name="Rectangle 261"/>
        <xdr:cNvSpPr>
          <a:spLocks/>
        </xdr:cNvSpPr>
      </xdr:nvSpPr>
      <xdr:spPr>
        <a:xfrm>
          <a:off x="7800975" y="244030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123825</xdr:colOff>
      <xdr:row>130</xdr:row>
      <xdr:rowOff>0</xdr:rowOff>
    </xdr:from>
    <xdr:to>
      <xdr:col>8</xdr:col>
      <xdr:colOff>400050</xdr:colOff>
      <xdr:row>130</xdr:row>
      <xdr:rowOff>0</xdr:rowOff>
    </xdr:to>
    <xdr:sp>
      <xdr:nvSpPr>
        <xdr:cNvPr id="262" name="Rectangle 262"/>
        <xdr:cNvSpPr>
          <a:spLocks/>
        </xdr:cNvSpPr>
      </xdr:nvSpPr>
      <xdr:spPr>
        <a:xfrm>
          <a:off x="6076950" y="244030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85725</xdr:colOff>
      <xdr:row>130</xdr:row>
      <xdr:rowOff>0</xdr:rowOff>
    </xdr:from>
    <xdr:to>
      <xdr:col>10</xdr:col>
      <xdr:colOff>409575</xdr:colOff>
      <xdr:row>130</xdr:row>
      <xdr:rowOff>0</xdr:rowOff>
    </xdr:to>
    <xdr:sp>
      <xdr:nvSpPr>
        <xdr:cNvPr id="263" name="Rectangle 263"/>
        <xdr:cNvSpPr>
          <a:spLocks/>
        </xdr:cNvSpPr>
      </xdr:nvSpPr>
      <xdr:spPr>
        <a:xfrm>
          <a:off x="6953250" y="24403050"/>
          <a:ext cx="323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130</xdr:row>
      <xdr:rowOff>0</xdr:rowOff>
    </xdr:from>
    <xdr:to>
      <xdr:col>8</xdr:col>
      <xdr:colOff>381000</xdr:colOff>
      <xdr:row>130</xdr:row>
      <xdr:rowOff>0</xdr:rowOff>
    </xdr:to>
    <xdr:sp>
      <xdr:nvSpPr>
        <xdr:cNvPr id="264" name="Rectangle 264"/>
        <xdr:cNvSpPr>
          <a:spLocks/>
        </xdr:cNvSpPr>
      </xdr:nvSpPr>
      <xdr:spPr>
        <a:xfrm>
          <a:off x="5991225" y="24403050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</a:p>
      </xdr:txBody>
    </xdr:sp>
    <xdr:clientData/>
  </xdr:twoCellAnchor>
  <xdr:twoCellAnchor>
    <xdr:from>
      <xdr:col>8</xdr:col>
      <xdr:colOff>123825</xdr:colOff>
      <xdr:row>130</xdr:row>
      <xdr:rowOff>0</xdr:rowOff>
    </xdr:from>
    <xdr:to>
      <xdr:col>8</xdr:col>
      <xdr:colOff>400050</xdr:colOff>
      <xdr:row>130</xdr:row>
      <xdr:rowOff>0</xdr:rowOff>
    </xdr:to>
    <xdr:sp>
      <xdr:nvSpPr>
        <xdr:cNvPr id="265" name="Rectangle 265"/>
        <xdr:cNvSpPr>
          <a:spLocks/>
        </xdr:cNvSpPr>
      </xdr:nvSpPr>
      <xdr:spPr>
        <a:xfrm>
          <a:off x="6076950" y="244030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130</xdr:row>
      <xdr:rowOff>0</xdr:rowOff>
    </xdr:from>
    <xdr:to>
      <xdr:col>8</xdr:col>
      <xdr:colOff>381000</xdr:colOff>
      <xdr:row>130</xdr:row>
      <xdr:rowOff>0</xdr:rowOff>
    </xdr:to>
    <xdr:sp>
      <xdr:nvSpPr>
        <xdr:cNvPr id="266" name="Rectangle 266"/>
        <xdr:cNvSpPr>
          <a:spLocks/>
        </xdr:cNvSpPr>
      </xdr:nvSpPr>
      <xdr:spPr>
        <a:xfrm>
          <a:off x="5991225" y="24403050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</a:p>
      </xdr:txBody>
    </xdr:sp>
    <xdr:clientData/>
  </xdr:twoCellAnchor>
  <xdr:twoCellAnchor>
    <xdr:from>
      <xdr:col>8</xdr:col>
      <xdr:colOff>123825</xdr:colOff>
      <xdr:row>130</xdr:row>
      <xdr:rowOff>0</xdr:rowOff>
    </xdr:from>
    <xdr:to>
      <xdr:col>8</xdr:col>
      <xdr:colOff>400050</xdr:colOff>
      <xdr:row>130</xdr:row>
      <xdr:rowOff>0</xdr:rowOff>
    </xdr:to>
    <xdr:sp>
      <xdr:nvSpPr>
        <xdr:cNvPr id="267" name="Rectangle 267"/>
        <xdr:cNvSpPr>
          <a:spLocks/>
        </xdr:cNvSpPr>
      </xdr:nvSpPr>
      <xdr:spPr>
        <a:xfrm>
          <a:off x="6076950" y="244030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130</xdr:row>
      <xdr:rowOff>0</xdr:rowOff>
    </xdr:from>
    <xdr:to>
      <xdr:col>8</xdr:col>
      <xdr:colOff>381000</xdr:colOff>
      <xdr:row>130</xdr:row>
      <xdr:rowOff>0</xdr:rowOff>
    </xdr:to>
    <xdr:sp>
      <xdr:nvSpPr>
        <xdr:cNvPr id="268" name="Rectangle 268"/>
        <xdr:cNvSpPr>
          <a:spLocks/>
        </xdr:cNvSpPr>
      </xdr:nvSpPr>
      <xdr:spPr>
        <a:xfrm>
          <a:off x="5991225" y="24403050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</a:p>
      </xdr:txBody>
    </xdr:sp>
    <xdr:clientData/>
  </xdr:twoCellAnchor>
  <xdr:twoCellAnchor>
    <xdr:from>
      <xdr:col>8</xdr:col>
      <xdr:colOff>123825</xdr:colOff>
      <xdr:row>130</xdr:row>
      <xdr:rowOff>0</xdr:rowOff>
    </xdr:from>
    <xdr:to>
      <xdr:col>8</xdr:col>
      <xdr:colOff>400050</xdr:colOff>
      <xdr:row>130</xdr:row>
      <xdr:rowOff>0</xdr:rowOff>
    </xdr:to>
    <xdr:sp>
      <xdr:nvSpPr>
        <xdr:cNvPr id="269" name="Rectangle 269"/>
        <xdr:cNvSpPr>
          <a:spLocks/>
        </xdr:cNvSpPr>
      </xdr:nvSpPr>
      <xdr:spPr>
        <a:xfrm>
          <a:off x="6076950" y="244030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85725</xdr:colOff>
      <xdr:row>130</xdr:row>
      <xdr:rowOff>0</xdr:rowOff>
    </xdr:from>
    <xdr:to>
      <xdr:col>10</xdr:col>
      <xdr:colOff>409575</xdr:colOff>
      <xdr:row>130</xdr:row>
      <xdr:rowOff>0</xdr:rowOff>
    </xdr:to>
    <xdr:sp>
      <xdr:nvSpPr>
        <xdr:cNvPr id="270" name="Rectangle 270"/>
        <xdr:cNvSpPr>
          <a:spLocks/>
        </xdr:cNvSpPr>
      </xdr:nvSpPr>
      <xdr:spPr>
        <a:xfrm>
          <a:off x="6953250" y="24403050"/>
          <a:ext cx="323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130</xdr:row>
      <xdr:rowOff>0</xdr:rowOff>
    </xdr:from>
    <xdr:to>
      <xdr:col>8</xdr:col>
      <xdr:colOff>381000</xdr:colOff>
      <xdr:row>130</xdr:row>
      <xdr:rowOff>0</xdr:rowOff>
    </xdr:to>
    <xdr:sp>
      <xdr:nvSpPr>
        <xdr:cNvPr id="271" name="Rectangle 271"/>
        <xdr:cNvSpPr>
          <a:spLocks/>
        </xdr:cNvSpPr>
      </xdr:nvSpPr>
      <xdr:spPr>
        <a:xfrm>
          <a:off x="5991225" y="24403050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</a:p>
      </xdr:txBody>
    </xdr:sp>
    <xdr:clientData/>
  </xdr:twoCellAnchor>
  <xdr:twoCellAnchor>
    <xdr:from>
      <xdr:col>10</xdr:col>
      <xdr:colOff>38100</xdr:colOff>
      <xdr:row>130</xdr:row>
      <xdr:rowOff>0</xdr:rowOff>
    </xdr:from>
    <xdr:to>
      <xdr:col>10</xdr:col>
      <xdr:colOff>314325</xdr:colOff>
      <xdr:row>130</xdr:row>
      <xdr:rowOff>0</xdr:rowOff>
    </xdr:to>
    <xdr:sp>
      <xdr:nvSpPr>
        <xdr:cNvPr id="272" name="Rectangle 272"/>
        <xdr:cNvSpPr>
          <a:spLocks/>
        </xdr:cNvSpPr>
      </xdr:nvSpPr>
      <xdr:spPr>
        <a:xfrm>
          <a:off x="6905625" y="244030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130</xdr:row>
      <xdr:rowOff>0</xdr:rowOff>
    </xdr:from>
    <xdr:to>
      <xdr:col>12</xdr:col>
      <xdr:colOff>314325</xdr:colOff>
      <xdr:row>130</xdr:row>
      <xdr:rowOff>0</xdr:rowOff>
    </xdr:to>
    <xdr:sp>
      <xdr:nvSpPr>
        <xdr:cNvPr id="273" name="Rectangle 273"/>
        <xdr:cNvSpPr>
          <a:spLocks/>
        </xdr:cNvSpPr>
      </xdr:nvSpPr>
      <xdr:spPr>
        <a:xfrm>
          <a:off x="7800975" y="244030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130</xdr:row>
      <xdr:rowOff>0</xdr:rowOff>
    </xdr:from>
    <xdr:to>
      <xdr:col>10</xdr:col>
      <xdr:colOff>314325</xdr:colOff>
      <xdr:row>130</xdr:row>
      <xdr:rowOff>0</xdr:rowOff>
    </xdr:to>
    <xdr:sp>
      <xdr:nvSpPr>
        <xdr:cNvPr id="274" name="Rectangle 274"/>
        <xdr:cNvSpPr>
          <a:spLocks/>
        </xdr:cNvSpPr>
      </xdr:nvSpPr>
      <xdr:spPr>
        <a:xfrm>
          <a:off x="6905625" y="244030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130</xdr:row>
      <xdr:rowOff>0</xdr:rowOff>
    </xdr:from>
    <xdr:to>
      <xdr:col>12</xdr:col>
      <xdr:colOff>314325</xdr:colOff>
      <xdr:row>130</xdr:row>
      <xdr:rowOff>0</xdr:rowOff>
    </xdr:to>
    <xdr:sp>
      <xdr:nvSpPr>
        <xdr:cNvPr id="275" name="Rectangle 275"/>
        <xdr:cNvSpPr>
          <a:spLocks/>
        </xdr:cNvSpPr>
      </xdr:nvSpPr>
      <xdr:spPr>
        <a:xfrm>
          <a:off x="7800975" y="244030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130</xdr:row>
      <xdr:rowOff>0</xdr:rowOff>
    </xdr:from>
    <xdr:to>
      <xdr:col>8</xdr:col>
      <xdr:colOff>314325</xdr:colOff>
      <xdr:row>130</xdr:row>
      <xdr:rowOff>0</xdr:rowOff>
    </xdr:to>
    <xdr:sp>
      <xdr:nvSpPr>
        <xdr:cNvPr id="276" name="Rectangle 276"/>
        <xdr:cNvSpPr>
          <a:spLocks/>
        </xdr:cNvSpPr>
      </xdr:nvSpPr>
      <xdr:spPr>
        <a:xfrm>
          <a:off x="5991225" y="244030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19050</xdr:colOff>
      <xdr:row>130</xdr:row>
      <xdr:rowOff>0</xdr:rowOff>
    </xdr:from>
    <xdr:to>
      <xdr:col>10</xdr:col>
      <xdr:colOff>314325</xdr:colOff>
      <xdr:row>130</xdr:row>
      <xdr:rowOff>0</xdr:rowOff>
    </xdr:to>
    <xdr:sp>
      <xdr:nvSpPr>
        <xdr:cNvPr id="277" name="Rectangle 277"/>
        <xdr:cNvSpPr>
          <a:spLocks/>
        </xdr:cNvSpPr>
      </xdr:nvSpPr>
      <xdr:spPr>
        <a:xfrm>
          <a:off x="6886575" y="244030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38100</xdr:colOff>
      <xdr:row>130</xdr:row>
      <xdr:rowOff>0</xdr:rowOff>
    </xdr:from>
    <xdr:to>
      <xdr:col>12</xdr:col>
      <xdr:colOff>314325</xdr:colOff>
      <xdr:row>130</xdr:row>
      <xdr:rowOff>0</xdr:rowOff>
    </xdr:to>
    <xdr:sp>
      <xdr:nvSpPr>
        <xdr:cNvPr id="278" name="Rectangle 278"/>
        <xdr:cNvSpPr>
          <a:spLocks/>
        </xdr:cNvSpPr>
      </xdr:nvSpPr>
      <xdr:spPr>
        <a:xfrm>
          <a:off x="7820025" y="244030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130</xdr:row>
      <xdr:rowOff>0</xdr:rowOff>
    </xdr:from>
    <xdr:to>
      <xdr:col>8</xdr:col>
      <xdr:colOff>314325</xdr:colOff>
      <xdr:row>130</xdr:row>
      <xdr:rowOff>0</xdr:rowOff>
    </xdr:to>
    <xdr:sp>
      <xdr:nvSpPr>
        <xdr:cNvPr id="279" name="Rectangle 279"/>
        <xdr:cNvSpPr>
          <a:spLocks/>
        </xdr:cNvSpPr>
      </xdr:nvSpPr>
      <xdr:spPr>
        <a:xfrm>
          <a:off x="5991225" y="244030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19050</xdr:colOff>
      <xdr:row>130</xdr:row>
      <xdr:rowOff>0</xdr:rowOff>
    </xdr:from>
    <xdr:to>
      <xdr:col>10</xdr:col>
      <xdr:colOff>314325</xdr:colOff>
      <xdr:row>130</xdr:row>
      <xdr:rowOff>0</xdr:rowOff>
    </xdr:to>
    <xdr:sp>
      <xdr:nvSpPr>
        <xdr:cNvPr id="280" name="Rectangle 280"/>
        <xdr:cNvSpPr>
          <a:spLocks/>
        </xdr:cNvSpPr>
      </xdr:nvSpPr>
      <xdr:spPr>
        <a:xfrm>
          <a:off x="6886575" y="244030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38100</xdr:colOff>
      <xdr:row>130</xdr:row>
      <xdr:rowOff>0</xdr:rowOff>
    </xdr:from>
    <xdr:to>
      <xdr:col>12</xdr:col>
      <xdr:colOff>314325</xdr:colOff>
      <xdr:row>130</xdr:row>
      <xdr:rowOff>0</xdr:rowOff>
    </xdr:to>
    <xdr:sp>
      <xdr:nvSpPr>
        <xdr:cNvPr id="281" name="Rectangle 281"/>
        <xdr:cNvSpPr>
          <a:spLocks/>
        </xdr:cNvSpPr>
      </xdr:nvSpPr>
      <xdr:spPr>
        <a:xfrm>
          <a:off x="7820025" y="244030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130</xdr:row>
      <xdr:rowOff>0</xdr:rowOff>
    </xdr:from>
    <xdr:to>
      <xdr:col>8</xdr:col>
      <xdr:colOff>314325</xdr:colOff>
      <xdr:row>130</xdr:row>
      <xdr:rowOff>0</xdr:rowOff>
    </xdr:to>
    <xdr:sp>
      <xdr:nvSpPr>
        <xdr:cNvPr id="282" name="Rectangle 282"/>
        <xdr:cNvSpPr>
          <a:spLocks/>
        </xdr:cNvSpPr>
      </xdr:nvSpPr>
      <xdr:spPr>
        <a:xfrm>
          <a:off x="5991225" y="244030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19050</xdr:colOff>
      <xdr:row>130</xdr:row>
      <xdr:rowOff>0</xdr:rowOff>
    </xdr:from>
    <xdr:to>
      <xdr:col>10</xdr:col>
      <xdr:colOff>314325</xdr:colOff>
      <xdr:row>130</xdr:row>
      <xdr:rowOff>0</xdr:rowOff>
    </xdr:to>
    <xdr:sp>
      <xdr:nvSpPr>
        <xdr:cNvPr id="283" name="Rectangle 283"/>
        <xdr:cNvSpPr>
          <a:spLocks/>
        </xdr:cNvSpPr>
      </xdr:nvSpPr>
      <xdr:spPr>
        <a:xfrm>
          <a:off x="6886575" y="244030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130</xdr:row>
      <xdr:rowOff>0</xdr:rowOff>
    </xdr:from>
    <xdr:to>
      <xdr:col>10</xdr:col>
      <xdr:colOff>314325</xdr:colOff>
      <xdr:row>130</xdr:row>
      <xdr:rowOff>0</xdr:rowOff>
    </xdr:to>
    <xdr:sp>
      <xdr:nvSpPr>
        <xdr:cNvPr id="284" name="Rectangle 284"/>
        <xdr:cNvSpPr>
          <a:spLocks/>
        </xdr:cNvSpPr>
      </xdr:nvSpPr>
      <xdr:spPr>
        <a:xfrm>
          <a:off x="6905625" y="244030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130</xdr:row>
      <xdr:rowOff>0</xdr:rowOff>
    </xdr:from>
    <xdr:to>
      <xdr:col>12</xdr:col>
      <xdr:colOff>314325</xdr:colOff>
      <xdr:row>130</xdr:row>
      <xdr:rowOff>0</xdr:rowOff>
    </xdr:to>
    <xdr:sp>
      <xdr:nvSpPr>
        <xdr:cNvPr id="285" name="Rectangle 285"/>
        <xdr:cNvSpPr>
          <a:spLocks/>
        </xdr:cNvSpPr>
      </xdr:nvSpPr>
      <xdr:spPr>
        <a:xfrm>
          <a:off x="7800975" y="244030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6</xdr:col>
      <xdr:colOff>38100</xdr:colOff>
      <xdr:row>130</xdr:row>
      <xdr:rowOff>0</xdr:rowOff>
    </xdr:from>
    <xdr:to>
      <xdr:col>6</xdr:col>
      <xdr:colOff>314325</xdr:colOff>
      <xdr:row>130</xdr:row>
      <xdr:rowOff>0</xdr:rowOff>
    </xdr:to>
    <xdr:sp>
      <xdr:nvSpPr>
        <xdr:cNvPr id="286" name="Rectangle 286"/>
        <xdr:cNvSpPr>
          <a:spLocks/>
        </xdr:cNvSpPr>
      </xdr:nvSpPr>
      <xdr:spPr>
        <a:xfrm>
          <a:off x="5076825" y="244030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130</xdr:row>
      <xdr:rowOff>0</xdr:rowOff>
    </xdr:from>
    <xdr:to>
      <xdr:col>12</xdr:col>
      <xdr:colOff>314325</xdr:colOff>
      <xdr:row>130</xdr:row>
      <xdr:rowOff>0</xdr:rowOff>
    </xdr:to>
    <xdr:sp>
      <xdr:nvSpPr>
        <xdr:cNvPr id="287" name="Rectangle 287"/>
        <xdr:cNvSpPr>
          <a:spLocks/>
        </xdr:cNvSpPr>
      </xdr:nvSpPr>
      <xdr:spPr>
        <a:xfrm>
          <a:off x="7800975" y="244030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19050</xdr:colOff>
      <xdr:row>130</xdr:row>
      <xdr:rowOff>0</xdr:rowOff>
    </xdr:from>
    <xdr:to>
      <xdr:col>8</xdr:col>
      <xdr:colOff>314325</xdr:colOff>
      <xdr:row>130</xdr:row>
      <xdr:rowOff>0</xdr:rowOff>
    </xdr:to>
    <xdr:sp>
      <xdr:nvSpPr>
        <xdr:cNvPr id="288" name="Rectangle 288"/>
        <xdr:cNvSpPr>
          <a:spLocks/>
        </xdr:cNvSpPr>
      </xdr:nvSpPr>
      <xdr:spPr>
        <a:xfrm>
          <a:off x="5972175" y="244030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130</xdr:row>
      <xdr:rowOff>0</xdr:rowOff>
    </xdr:from>
    <xdr:to>
      <xdr:col>10</xdr:col>
      <xdr:colOff>314325</xdr:colOff>
      <xdr:row>130</xdr:row>
      <xdr:rowOff>0</xdr:rowOff>
    </xdr:to>
    <xdr:sp>
      <xdr:nvSpPr>
        <xdr:cNvPr id="289" name="Rectangle 289"/>
        <xdr:cNvSpPr>
          <a:spLocks/>
        </xdr:cNvSpPr>
      </xdr:nvSpPr>
      <xdr:spPr>
        <a:xfrm>
          <a:off x="6905625" y="244030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130</xdr:row>
      <xdr:rowOff>0</xdr:rowOff>
    </xdr:from>
    <xdr:to>
      <xdr:col>10</xdr:col>
      <xdr:colOff>314325</xdr:colOff>
      <xdr:row>130</xdr:row>
      <xdr:rowOff>0</xdr:rowOff>
    </xdr:to>
    <xdr:sp>
      <xdr:nvSpPr>
        <xdr:cNvPr id="290" name="Rectangle 290"/>
        <xdr:cNvSpPr>
          <a:spLocks/>
        </xdr:cNvSpPr>
      </xdr:nvSpPr>
      <xdr:spPr>
        <a:xfrm>
          <a:off x="6905625" y="244030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130</xdr:row>
      <xdr:rowOff>0</xdr:rowOff>
    </xdr:from>
    <xdr:to>
      <xdr:col>12</xdr:col>
      <xdr:colOff>314325</xdr:colOff>
      <xdr:row>130</xdr:row>
      <xdr:rowOff>0</xdr:rowOff>
    </xdr:to>
    <xdr:sp>
      <xdr:nvSpPr>
        <xdr:cNvPr id="291" name="Rectangle 291"/>
        <xdr:cNvSpPr>
          <a:spLocks/>
        </xdr:cNvSpPr>
      </xdr:nvSpPr>
      <xdr:spPr>
        <a:xfrm>
          <a:off x="7800975" y="244030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130</xdr:row>
      <xdr:rowOff>0</xdr:rowOff>
    </xdr:from>
    <xdr:to>
      <xdr:col>8</xdr:col>
      <xdr:colOff>314325</xdr:colOff>
      <xdr:row>130</xdr:row>
      <xdr:rowOff>0</xdr:rowOff>
    </xdr:to>
    <xdr:sp>
      <xdr:nvSpPr>
        <xdr:cNvPr id="292" name="Rectangle 292"/>
        <xdr:cNvSpPr>
          <a:spLocks/>
        </xdr:cNvSpPr>
      </xdr:nvSpPr>
      <xdr:spPr>
        <a:xfrm>
          <a:off x="5991225" y="244030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19050</xdr:colOff>
      <xdr:row>130</xdr:row>
      <xdr:rowOff>0</xdr:rowOff>
    </xdr:from>
    <xdr:to>
      <xdr:col>10</xdr:col>
      <xdr:colOff>314325</xdr:colOff>
      <xdr:row>130</xdr:row>
      <xdr:rowOff>0</xdr:rowOff>
    </xdr:to>
    <xdr:sp>
      <xdr:nvSpPr>
        <xdr:cNvPr id="293" name="Rectangle 293"/>
        <xdr:cNvSpPr>
          <a:spLocks/>
        </xdr:cNvSpPr>
      </xdr:nvSpPr>
      <xdr:spPr>
        <a:xfrm>
          <a:off x="6886575" y="244030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38100</xdr:colOff>
      <xdr:row>130</xdr:row>
      <xdr:rowOff>0</xdr:rowOff>
    </xdr:from>
    <xdr:to>
      <xdr:col>12</xdr:col>
      <xdr:colOff>314325</xdr:colOff>
      <xdr:row>130</xdr:row>
      <xdr:rowOff>0</xdr:rowOff>
    </xdr:to>
    <xdr:sp>
      <xdr:nvSpPr>
        <xdr:cNvPr id="294" name="Rectangle 294"/>
        <xdr:cNvSpPr>
          <a:spLocks/>
        </xdr:cNvSpPr>
      </xdr:nvSpPr>
      <xdr:spPr>
        <a:xfrm>
          <a:off x="7820025" y="244030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130</xdr:row>
      <xdr:rowOff>0</xdr:rowOff>
    </xdr:from>
    <xdr:to>
      <xdr:col>8</xdr:col>
      <xdr:colOff>314325</xdr:colOff>
      <xdr:row>130</xdr:row>
      <xdr:rowOff>0</xdr:rowOff>
    </xdr:to>
    <xdr:sp>
      <xdr:nvSpPr>
        <xdr:cNvPr id="295" name="Rectangle 295"/>
        <xdr:cNvSpPr>
          <a:spLocks/>
        </xdr:cNvSpPr>
      </xdr:nvSpPr>
      <xdr:spPr>
        <a:xfrm>
          <a:off x="5991225" y="244030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19050</xdr:colOff>
      <xdr:row>130</xdr:row>
      <xdr:rowOff>0</xdr:rowOff>
    </xdr:from>
    <xdr:to>
      <xdr:col>10</xdr:col>
      <xdr:colOff>314325</xdr:colOff>
      <xdr:row>130</xdr:row>
      <xdr:rowOff>0</xdr:rowOff>
    </xdr:to>
    <xdr:sp>
      <xdr:nvSpPr>
        <xdr:cNvPr id="296" name="Rectangle 296"/>
        <xdr:cNvSpPr>
          <a:spLocks/>
        </xdr:cNvSpPr>
      </xdr:nvSpPr>
      <xdr:spPr>
        <a:xfrm>
          <a:off x="6886575" y="244030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38100</xdr:colOff>
      <xdr:row>130</xdr:row>
      <xdr:rowOff>0</xdr:rowOff>
    </xdr:from>
    <xdr:to>
      <xdr:col>12</xdr:col>
      <xdr:colOff>314325</xdr:colOff>
      <xdr:row>130</xdr:row>
      <xdr:rowOff>0</xdr:rowOff>
    </xdr:to>
    <xdr:sp>
      <xdr:nvSpPr>
        <xdr:cNvPr id="297" name="Rectangle 297"/>
        <xdr:cNvSpPr>
          <a:spLocks/>
        </xdr:cNvSpPr>
      </xdr:nvSpPr>
      <xdr:spPr>
        <a:xfrm>
          <a:off x="7820025" y="244030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130</xdr:row>
      <xdr:rowOff>0</xdr:rowOff>
    </xdr:from>
    <xdr:to>
      <xdr:col>10</xdr:col>
      <xdr:colOff>314325</xdr:colOff>
      <xdr:row>130</xdr:row>
      <xdr:rowOff>0</xdr:rowOff>
    </xdr:to>
    <xdr:sp>
      <xdr:nvSpPr>
        <xdr:cNvPr id="298" name="Rectangle 298"/>
        <xdr:cNvSpPr>
          <a:spLocks/>
        </xdr:cNvSpPr>
      </xdr:nvSpPr>
      <xdr:spPr>
        <a:xfrm>
          <a:off x="6905625" y="244030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130</xdr:row>
      <xdr:rowOff>0</xdr:rowOff>
    </xdr:from>
    <xdr:to>
      <xdr:col>12</xdr:col>
      <xdr:colOff>314325</xdr:colOff>
      <xdr:row>130</xdr:row>
      <xdr:rowOff>0</xdr:rowOff>
    </xdr:to>
    <xdr:sp>
      <xdr:nvSpPr>
        <xdr:cNvPr id="299" name="Rectangle 299"/>
        <xdr:cNvSpPr>
          <a:spLocks/>
        </xdr:cNvSpPr>
      </xdr:nvSpPr>
      <xdr:spPr>
        <a:xfrm>
          <a:off x="7800975" y="244030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130</xdr:row>
      <xdr:rowOff>0</xdr:rowOff>
    </xdr:from>
    <xdr:to>
      <xdr:col>10</xdr:col>
      <xdr:colOff>314325</xdr:colOff>
      <xdr:row>130</xdr:row>
      <xdr:rowOff>0</xdr:rowOff>
    </xdr:to>
    <xdr:sp>
      <xdr:nvSpPr>
        <xdr:cNvPr id="300" name="Rectangle 300"/>
        <xdr:cNvSpPr>
          <a:spLocks/>
        </xdr:cNvSpPr>
      </xdr:nvSpPr>
      <xdr:spPr>
        <a:xfrm>
          <a:off x="6905625" y="244030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130</xdr:row>
      <xdr:rowOff>0</xdr:rowOff>
    </xdr:from>
    <xdr:to>
      <xdr:col>12</xdr:col>
      <xdr:colOff>314325</xdr:colOff>
      <xdr:row>130</xdr:row>
      <xdr:rowOff>0</xdr:rowOff>
    </xdr:to>
    <xdr:sp>
      <xdr:nvSpPr>
        <xdr:cNvPr id="301" name="Rectangle 301"/>
        <xdr:cNvSpPr>
          <a:spLocks/>
        </xdr:cNvSpPr>
      </xdr:nvSpPr>
      <xdr:spPr>
        <a:xfrm>
          <a:off x="7800975" y="244030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130</xdr:row>
      <xdr:rowOff>0</xdr:rowOff>
    </xdr:from>
    <xdr:to>
      <xdr:col>10</xdr:col>
      <xdr:colOff>314325</xdr:colOff>
      <xdr:row>130</xdr:row>
      <xdr:rowOff>0</xdr:rowOff>
    </xdr:to>
    <xdr:sp>
      <xdr:nvSpPr>
        <xdr:cNvPr id="302" name="Rectangle 302"/>
        <xdr:cNvSpPr>
          <a:spLocks/>
        </xdr:cNvSpPr>
      </xdr:nvSpPr>
      <xdr:spPr>
        <a:xfrm>
          <a:off x="6905625" y="244030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130</xdr:row>
      <xdr:rowOff>0</xdr:rowOff>
    </xdr:from>
    <xdr:to>
      <xdr:col>12</xdr:col>
      <xdr:colOff>314325</xdr:colOff>
      <xdr:row>130</xdr:row>
      <xdr:rowOff>0</xdr:rowOff>
    </xdr:to>
    <xdr:sp>
      <xdr:nvSpPr>
        <xdr:cNvPr id="303" name="Rectangle 303"/>
        <xdr:cNvSpPr>
          <a:spLocks/>
        </xdr:cNvSpPr>
      </xdr:nvSpPr>
      <xdr:spPr>
        <a:xfrm>
          <a:off x="7800975" y="244030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123825</xdr:colOff>
      <xdr:row>130</xdr:row>
      <xdr:rowOff>0</xdr:rowOff>
    </xdr:from>
    <xdr:to>
      <xdr:col>8</xdr:col>
      <xdr:colOff>400050</xdr:colOff>
      <xdr:row>130</xdr:row>
      <xdr:rowOff>0</xdr:rowOff>
    </xdr:to>
    <xdr:sp>
      <xdr:nvSpPr>
        <xdr:cNvPr id="304" name="Rectangle 304"/>
        <xdr:cNvSpPr>
          <a:spLocks/>
        </xdr:cNvSpPr>
      </xdr:nvSpPr>
      <xdr:spPr>
        <a:xfrm>
          <a:off x="6076950" y="244030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85725</xdr:colOff>
      <xdr:row>130</xdr:row>
      <xdr:rowOff>0</xdr:rowOff>
    </xdr:from>
    <xdr:to>
      <xdr:col>10</xdr:col>
      <xdr:colOff>409575</xdr:colOff>
      <xdr:row>130</xdr:row>
      <xdr:rowOff>0</xdr:rowOff>
    </xdr:to>
    <xdr:sp>
      <xdr:nvSpPr>
        <xdr:cNvPr id="305" name="Rectangle 305"/>
        <xdr:cNvSpPr>
          <a:spLocks/>
        </xdr:cNvSpPr>
      </xdr:nvSpPr>
      <xdr:spPr>
        <a:xfrm>
          <a:off x="6953250" y="24403050"/>
          <a:ext cx="323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130</xdr:row>
      <xdr:rowOff>0</xdr:rowOff>
    </xdr:from>
    <xdr:to>
      <xdr:col>8</xdr:col>
      <xdr:colOff>381000</xdr:colOff>
      <xdr:row>130</xdr:row>
      <xdr:rowOff>0</xdr:rowOff>
    </xdr:to>
    <xdr:sp>
      <xdr:nvSpPr>
        <xdr:cNvPr id="306" name="Rectangle 306"/>
        <xdr:cNvSpPr>
          <a:spLocks/>
        </xdr:cNvSpPr>
      </xdr:nvSpPr>
      <xdr:spPr>
        <a:xfrm>
          <a:off x="5991225" y="24403050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</a:p>
      </xdr:txBody>
    </xdr:sp>
    <xdr:clientData/>
  </xdr:twoCellAnchor>
  <xdr:twoCellAnchor>
    <xdr:from>
      <xdr:col>8</xdr:col>
      <xdr:colOff>123825</xdr:colOff>
      <xdr:row>130</xdr:row>
      <xdr:rowOff>0</xdr:rowOff>
    </xdr:from>
    <xdr:to>
      <xdr:col>8</xdr:col>
      <xdr:colOff>400050</xdr:colOff>
      <xdr:row>130</xdr:row>
      <xdr:rowOff>0</xdr:rowOff>
    </xdr:to>
    <xdr:sp>
      <xdr:nvSpPr>
        <xdr:cNvPr id="307" name="Rectangle 307"/>
        <xdr:cNvSpPr>
          <a:spLocks/>
        </xdr:cNvSpPr>
      </xdr:nvSpPr>
      <xdr:spPr>
        <a:xfrm>
          <a:off x="6076950" y="244030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130</xdr:row>
      <xdr:rowOff>0</xdr:rowOff>
    </xdr:from>
    <xdr:to>
      <xdr:col>8</xdr:col>
      <xdr:colOff>381000</xdr:colOff>
      <xdr:row>130</xdr:row>
      <xdr:rowOff>0</xdr:rowOff>
    </xdr:to>
    <xdr:sp>
      <xdr:nvSpPr>
        <xdr:cNvPr id="308" name="Rectangle 308"/>
        <xdr:cNvSpPr>
          <a:spLocks/>
        </xdr:cNvSpPr>
      </xdr:nvSpPr>
      <xdr:spPr>
        <a:xfrm>
          <a:off x="5991225" y="24403050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</a:p>
      </xdr:txBody>
    </xdr:sp>
    <xdr:clientData/>
  </xdr:twoCellAnchor>
  <xdr:twoCellAnchor>
    <xdr:from>
      <xdr:col>8</xdr:col>
      <xdr:colOff>123825</xdr:colOff>
      <xdr:row>130</xdr:row>
      <xdr:rowOff>0</xdr:rowOff>
    </xdr:from>
    <xdr:to>
      <xdr:col>8</xdr:col>
      <xdr:colOff>400050</xdr:colOff>
      <xdr:row>130</xdr:row>
      <xdr:rowOff>0</xdr:rowOff>
    </xdr:to>
    <xdr:sp>
      <xdr:nvSpPr>
        <xdr:cNvPr id="309" name="Rectangle 309"/>
        <xdr:cNvSpPr>
          <a:spLocks/>
        </xdr:cNvSpPr>
      </xdr:nvSpPr>
      <xdr:spPr>
        <a:xfrm>
          <a:off x="6076950" y="244030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130</xdr:row>
      <xdr:rowOff>0</xdr:rowOff>
    </xdr:from>
    <xdr:to>
      <xdr:col>8</xdr:col>
      <xdr:colOff>381000</xdr:colOff>
      <xdr:row>130</xdr:row>
      <xdr:rowOff>0</xdr:rowOff>
    </xdr:to>
    <xdr:sp>
      <xdr:nvSpPr>
        <xdr:cNvPr id="310" name="Rectangle 310"/>
        <xdr:cNvSpPr>
          <a:spLocks/>
        </xdr:cNvSpPr>
      </xdr:nvSpPr>
      <xdr:spPr>
        <a:xfrm>
          <a:off x="5991225" y="24403050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</a:p>
      </xdr:txBody>
    </xdr:sp>
    <xdr:clientData/>
  </xdr:twoCellAnchor>
  <xdr:twoCellAnchor>
    <xdr:from>
      <xdr:col>8</xdr:col>
      <xdr:colOff>123825</xdr:colOff>
      <xdr:row>130</xdr:row>
      <xdr:rowOff>0</xdr:rowOff>
    </xdr:from>
    <xdr:to>
      <xdr:col>8</xdr:col>
      <xdr:colOff>400050</xdr:colOff>
      <xdr:row>130</xdr:row>
      <xdr:rowOff>0</xdr:rowOff>
    </xdr:to>
    <xdr:sp>
      <xdr:nvSpPr>
        <xdr:cNvPr id="311" name="Rectangle 311"/>
        <xdr:cNvSpPr>
          <a:spLocks/>
        </xdr:cNvSpPr>
      </xdr:nvSpPr>
      <xdr:spPr>
        <a:xfrm>
          <a:off x="6076950" y="244030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85725</xdr:colOff>
      <xdr:row>130</xdr:row>
      <xdr:rowOff>0</xdr:rowOff>
    </xdr:from>
    <xdr:to>
      <xdr:col>10</xdr:col>
      <xdr:colOff>409575</xdr:colOff>
      <xdr:row>130</xdr:row>
      <xdr:rowOff>0</xdr:rowOff>
    </xdr:to>
    <xdr:sp>
      <xdr:nvSpPr>
        <xdr:cNvPr id="312" name="Rectangle 312"/>
        <xdr:cNvSpPr>
          <a:spLocks/>
        </xdr:cNvSpPr>
      </xdr:nvSpPr>
      <xdr:spPr>
        <a:xfrm>
          <a:off x="6953250" y="24403050"/>
          <a:ext cx="323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130</xdr:row>
      <xdr:rowOff>0</xdr:rowOff>
    </xdr:from>
    <xdr:to>
      <xdr:col>8</xdr:col>
      <xdr:colOff>381000</xdr:colOff>
      <xdr:row>130</xdr:row>
      <xdr:rowOff>0</xdr:rowOff>
    </xdr:to>
    <xdr:sp>
      <xdr:nvSpPr>
        <xdr:cNvPr id="313" name="Rectangle 313"/>
        <xdr:cNvSpPr>
          <a:spLocks/>
        </xdr:cNvSpPr>
      </xdr:nvSpPr>
      <xdr:spPr>
        <a:xfrm>
          <a:off x="5991225" y="24403050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</a:p>
      </xdr:txBody>
    </xdr:sp>
    <xdr:clientData/>
  </xdr:twoCellAnchor>
  <xdr:twoCellAnchor>
    <xdr:from>
      <xdr:col>10</xdr:col>
      <xdr:colOff>38100</xdr:colOff>
      <xdr:row>130</xdr:row>
      <xdr:rowOff>0</xdr:rowOff>
    </xdr:from>
    <xdr:to>
      <xdr:col>10</xdr:col>
      <xdr:colOff>314325</xdr:colOff>
      <xdr:row>130</xdr:row>
      <xdr:rowOff>0</xdr:rowOff>
    </xdr:to>
    <xdr:sp>
      <xdr:nvSpPr>
        <xdr:cNvPr id="314" name="Rectangle 314"/>
        <xdr:cNvSpPr>
          <a:spLocks/>
        </xdr:cNvSpPr>
      </xdr:nvSpPr>
      <xdr:spPr>
        <a:xfrm>
          <a:off x="6905625" y="244030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130</xdr:row>
      <xdr:rowOff>0</xdr:rowOff>
    </xdr:from>
    <xdr:to>
      <xdr:col>12</xdr:col>
      <xdr:colOff>314325</xdr:colOff>
      <xdr:row>130</xdr:row>
      <xdr:rowOff>0</xdr:rowOff>
    </xdr:to>
    <xdr:sp>
      <xdr:nvSpPr>
        <xdr:cNvPr id="315" name="Rectangle 315"/>
        <xdr:cNvSpPr>
          <a:spLocks/>
        </xdr:cNvSpPr>
      </xdr:nvSpPr>
      <xdr:spPr>
        <a:xfrm>
          <a:off x="7800975" y="244030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130</xdr:row>
      <xdr:rowOff>0</xdr:rowOff>
    </xdr:from>
    <xdr:to>
      <xdr:col>10</xdr:col>
      <xdr:colOff>314325</xdr:colOff>
      <xdr:row>130</xdr:row>
      <xdr:rowOff>0</xdr:rowOff>
    </xdr:to>
    <xdr:sp>
      <xdr:nvSpPr>
        <xdr:cNvPr id="316" name="Rectangle 316"/>
        <xdr:cNvSpPr>
          <a:spLocks/>
        </xdr:cNvSpPr>
      </xdr:nvSpPr>
      <xdr:spPr>
        <a:xfrm>
          <a:off x="6905625" y="244030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130</xdr:row>
      <xdr:rowOff>0</xdr:rowOff>
    </xdr:from>
    <xdr:to>
      <xdr:col>12</xdr:col>
      <xdr:colOff>314325</xdr:colOff>
      <xdr:row>130</xdr:row>
      <xdr:rowOff>0</xdr:rowOff>
    </xdr:to>
    <xdr:sp>
      <xdr:nvSpPr>
        <xdr:cNvPr id="317" name="Rectangle 317"/>
        <xdr:cNvSpPr>
          <a:spLocks/>
        </xdr:cNvSpPr>
      </xdr:nvSpPr>
      <xdr:spPr>
        <a:xfrm>
          <a:off x="7800975" y="244030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130</xdr:row>
      <xdr:rowOff>0</xdr:rowOff>
    </xdr:from>
    <xdr:to>
      <xdr:col>8</xdr:col>
      <xdr:colOff>314325</xdr:colOff>
      <xdr:row>130</xdr:row>
      <xdr:rowOff>0</xdr:rowOff>
    </xdr:to>
    <xdr:sp>
      <xdr:nvSpPr>
        <xdr:cNvPr id="318" name="Rectangle 318"/>
        <xdr:cNvSpPr>
          <a:spLocks/>
        </xdr:cNvSpPr>
      </xdr:nvSpPr>
      <xdr:spPr>
        <a:xfrm>
          <a:off x="5991225" y="244030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19050</xdr:colOff>
      <xdr:row>130</xdr:row>
      <xdr:rowOff>0</xdr:rowOff>
    </xdr:from>
    <xdr:to>
      <xdr:col>10</xdr:col>
      <xdr:colOff>314325</xdr:colOff>
      <xdr:row>130</xdr:row>
      <xdr:rowOff>0</xdr:rowOff>
    </xdr:to>
    <xdr:sp>
      <xdr:nvSpPr>
        <xdr:cNvPr id="319" name="Rectangle 319"/>
        <xdr:cNvSpPr>
          <a:spLocks/>
        </xdr:cNvSpPr>
      </xdr:nvSpPr>
      <xdr:spPr>
        <a:xfrm>
          <a:off x="6886575" y="244030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38100</xdr:colOff>
      <xdr:row>130</xdr:row>
      <xdr:rowOff>0</xdr:rowOff>
    </xdr:from>
    <xdr:to>
      <xdr:col>12</xdr:col>
      <xdr:colOff>314325</xdr:colOff>
      <xdr:row>130</xdr:row>
      <xdr:rowOff>0</xdr:rowOff>
    </xdr:to>
    <xdr:sp>
      <xdr:nvSpPr>
        <xdr:cNvPr id="320" name="Rectangle 320"/>
        <xdr:cNvSpPr>
          <a:spLocks/>
        </xdr:cNvSpPr>
      </xdr:nvSpPr>
      <xdr:spPr>
        <a:xfrm>
          <a:off x="7820025" y="244030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130</xdr:row>
      <xdr:rowOff>0</xdr:rowOff>
    </xdr:from>
    <xdr:to>
      <xdr:col>8</xdr:col>
      <xdr:colOff>314325</xdr:colOff>
      <xdr:row>130</xdr:row>
      <xdr:rowOff>0</xdr:rowOff>
    </xdr:to>
    <xdr:sp>
      <xdr:nvSpPr>
        <xdr:cNvPr id="321" name="Rectangle 321"/>
        <xdr:cNvSpPr>
          <a:spLocks/>
        </xdr:cNvSpPr>
      </xdr:nvSpPr>
      <xdr:spPr>
        <a:xfrm>
          <a:off x="5991225" y="244030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19050</xdr:colOff>
      <xdr:row>130</xdr:row>
      <xdr:rowOff>0</xdr:rowOff>
    </xdr:from>
    <xdr:to>
      <xdr:col>10</xdr:col>
      <xdr:colOff>314325</xdr:colOff>
      <xdr:row>130</xdr:row>
      <xdr:rowOff>0</xdr:rowOff>
    </xdr:to>
    <xdr:sp>
      <xdr:nvSpPr>
        <xdr:cNvPr id="322" name="Rectangle 322"/>
        <xdr:cNvSpPr>
          <a:spLocks/>
        </xdr:cNvSpPr>
      </xdr:nvSpPr>
      <xdr:spPr>
        <a:xfrm>
          <a:off x="6886575" y="244030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38100</xdr:colOff>
      <xdr:row>130</xdr:row>
      <xdr:rowOff>0</xdr:rowOff>
    </xdr:from>
    <xdr:to>
      <xdr:col>12</xdr:col>
      <xdr:colOff>314325</xdr:colOff>
      <xdr:row>130</xdr:row>
      <xdr:rowOff>0</xdr:rowOff>
    </xdr:to>
    <xdr:sp>
      <xdr:nvSpPr>
        <xdr:cNvPr id="323" name="Rectangle 323"/>
        <xdr:cNvSpPr>
          <a:spLocks/>
        </xdr:cNvSpPr>
      </xdr:nvSpPr>
      <xdr:spPr>
        <a:xfrm>
          <a:off x="7820025" y="244030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130</xdr:row>
      <xdr:rowOff>0</xdr:rowOff>
    </xdr:from>
    <xdr:to>
      <xdr:col>8</xdr:col>
      <xdr:colOff>314325</xdr:colOff>
      <xdr:row>130</xdr:row>
      <xdr:rowOff>0</xdr:rowOff>
    </xdr:to>
    <xdr:sp>
      <xdr:nvSpPr>
        <xdr:cNvPr id="324" name="Rectangle 324"/>
        <xdr:cNvSpPr>
          <a:spLocks/>
        </xdr:cNvSpPr>
      </xdr:nvSpPr>
      <xdr:spPr>
        <a:xfrm>
          <a:off x="5991225" y="244030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19050</xdr:colOff>
      <xdr:row>130</xdr:row>
      <xdr:rowOff>0</xdr:rowOff>
    </xdr:from>
    <xdr:to>
      <xdr:col>10</xdr:col>
      <xdr:colOff>314325</xdr:colOff>
      <xdr:row>130</xdr:row>
      <xdr:rowOff>0</xdr:rowOff>
    </xdr:to>
    <xdr:sp>
      <xdr:nvSpPr>
        <xdr:cNvPr id="325" name="Rectangle 325"/>
        <xdr:cNvSpPr>
          <a:spLocks/>
        </xdr:cNvSpPr>
      </xdr:nvSpPr>
      <xdr:spPr>
        <a:xfrm>
          <a:off x="6886575" y="244030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130</xdr:row>
      <xdr:rowOff>0</xdr:rowOff>
    </xdr:from>
    <xdr:to>
      <xdr:col>10</xdr:col>
      <xdr:colOff>314325</xdr:colOff>
      <xdr:row>130</xdr:row>
      <xdr:rowOff>0</xdr:rowOff>
    </xdr:to>
    <xdr:sp>
      <xdr:nvSpPr>
        <xdr:cNvPr id="326" name="Rectangle 326"/>
        <xdr:cNvSpPr>
          <a:spLocks/>
        </xdr:cNvSpPr>
      </xdr:nvSpPr>
      <xdr:spPr>
        <a:xfrm>
          <a:off x="6905625" y="244030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130</xdr:row>
      <xdr:rowOff>0</xdr:rowOff>
    </xdr:from>
    <xdr:to>
      <xdr:col>12</xdr:col>
      <xdr:colOff>314325</xdr:colOff>
      <xdr:row>130</xdr:row>
      <xdr:rowOff>0</xdr:rowOff>
    </xdr:to>
    <xdr:sp>
      <xdr:nvSpPr>
        <xdr:cNvPr id="327" name="Rectangle 327"/>
        <xdr:cNvSpPr>
          <a:spLocks/>
        </xdr:cNvSpPr>
      </xdr:nvSpPr>
      <xdr:spPr>
        <a:xfrm>
          <a:off x="7800975" y="244030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6</xdr:col>
      <xdr:colOff>38100</xdr:colOff>
      <xdr:row>130</xdr:row>
      <xdr:rowOff>0</xdr:rowOff>
    </xdr:from>
    <xdr:to>
      <xdr:col>6</xdr:col>
      <xdr:colOff>314325</xdr:colOff>
      <xdr:row>130</xdr:row>
      <xdr:rowOff>0</xdr:rowOff>
    </xdr:to>
    <xdr:sp>
      <xdr:nvSpPr>
        <xdr:cNvPr id="328" name="Rectangle 328"/>
        <xdr:cNvSpPr>
          <a:spLocks/>
        </xdr:cNvSpPr>
      </xdr:nvSpPr>
      <xdr:spPr>
        <a:xfrm>
          <a:off x="5076825" y="244030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6</xdr:col>
      <xdr:colOff>19050</xdr:colOff>
      <xdr:row>130</xdr:row>
      <xdr:rowOff>0</xdr:rowOff>
    </xdr:from>
    <xdr:to>
      <xdr:col>6</xdr:col>
      <xdr:colOff>314325</xdr:colOff>
      <xdr:row>130</xdr:row>
      <xdr:rowOff>0</xdr:rowOff>
    </xdr:to>
    <xdr:sp>
      <xdr:nvSpPr>
        <xdr:cNvPr id="329" name="Rectangle 329"/>
        <xdr:cNvSpPr>
          <a:spLocks/>
        </xdr:cNvSpPr>
      </xdr:nvSpPr>
      <xdr:spPr>
        <a:xfrm>
          <a:off x="5057775" y="244030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38100</xdr:colOff>
      <xdr:row>130</xdr:row>
      <xdr:rowOff>0</xdr:rowOff>
    </xdr:from>
    <xdr:to>
      <xdr:col>12</xdr:col>
      <xdr:colOff>314325</xdr:colOff>
      <xdr:row>130</xdr:row>
      <xdr:rowOff>0</xdr:rowOff>
    </xdr:to>
    <xdr:sp>
      <xdr:nvSpPr>
        <xdr:cNvPr id="330" name="Rectangle 330"/>
        <xdr:cNvSpPr>
          <a:spLocks/>
        </xdr:cNvSpPr>
      </xdr:nvSpPr>
      <xdr:spPr>
        <a:xfrm>
          <a:off x="7820025" y="244030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19050</xdr:colOff>
      <xdr:row>130</xdr:row>
      <xdr:rowOff>0</xdr:rowOff>
    </xdr:from>
    <xdr:to>
      <xdr:col>8</xdr:col>
      <xdr:colOff>314325</xdr:colOff>
      <xdr:row>130</xdr:row>
      <xdr:rowOff>0</xdr:rowOff>
    </xdr:to>
    <xdr:sp>
      <xdr:nvSpPr>
        <xdr:cNvPr id="331" name="Rectangle 331"/>
        <xdr:cNvSpPr>
          <a:spLocks/>
        </xdr:cNvSpPr>
      </xdr:nvSpPr>
      <xdr:spPr>
        <a:xfrm>
          <a:off x="5972175" y="244030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130</xdr:row>
      <xdr:rowOff>0</xdr:rowOff>
    </xdr:from>
    <xdr:to>
      <xdr:col>10</xdr:col>
      <xdr:colOff>314325</xdr:colOff>
      <xdr:row>130</xdr:row>
      <xdr:rowOff>0</xdr:rowOff>
    </xdr:to>
    <xdr:sp>
      <xdr:nvSpPr>
        <xdr:cNvPr id="332" name="Rectangle 332"/>
        <xdr:cNvSpPr>
          <a:spLocks/>
        </xdr:cNvSpPr>
      </xdr:nvSpPr>
      <xdr:spPr>
        <a:xfrm>
          <a:off x="6905625" y="244030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130</xdr:row>
      <xdr:rowOff>0</xdr:rowOff>
    </xdr:from>
    <xdr:to>
      <xdr:col>10</xdr:col>
      <xdr:colOff>314325</xdr:colOff>
      <xdr:row>130</xdr:row>
      <xdr:rowOff>0</xdr:rowOff>
    </xdr:to>
    <xdr:sp>
      <xdr:nvSpPr>
        <xdr:cNvPr id="333" name="Rectangle 333"/>
        <xdr:cNvSpPr>
          <a:spLocks/>
        </xdr:cNvSpPr>
      </xdr:nvSpPr>
      <xdr:spPr>
        <a:xfrm>
          <a:off x="6905625" y="244030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130</xdr:row>
      <xdr:rowOff>0</xdr:rowOff>
    </xdr:from>
    <xdr:to>
      <xdr:col>12</xdr:col>
      <xdr:colOff>314325</xdr:colOff>
      <xdr:row>130</xdr:row>
      <xdr:rowOff>0</xdr:rowOff>
    </xdr:to>
    <xdr:sp>
      <xdr:nvSpPr>
        <xdr:cNvPr id="334" name="Rectangle 334"/>
        <xdr:cNvSpPr>
          <a:spLocks/>
        </xdr:cNvSpPr>
      </xdr:nvSpPr>
      <xdr:spPr>
        <a:xfrm>
          <a:off x="7800975" y="244030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130</xdr:row>
      <xdr:rowOff>0</xdr:rowOff>
    </xdr:from>
    <xdr:to>
      <xdr:col>8</xdr:col>
      <xdr:colOff>314325</xdr:colOff>
      <xdr:row>130</xdr:row>
      <xdr:rowOff>0</xdr:rowOff>
    </xdr:to>
    <xdr:sp>
      <xdr:nvSpPr>
        <xdr:cNvPr id="335" name="Rectangle 335"/>
        <xdr:cNvSpPr>
          <a:spLocks/>
        </xdr:cNvSpPr>
      </xdr:nvSpPr>
      <xdr:spPr>
        <a:xfrm>
          <a:off x="5991225" y="244030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19050</xdr:colOff>
      <xdr:row>130</xdr:row>
      <xdr:rowOff>0</xdr:rowOff>
    </xdr:from>
    <xdr:to>
      <xdr:col>10</xdr:col>
      <xdr:colOff>314325</xdr:colOff>
      <xdr:row>130</xdr:row>
      <xdr:rowOff>0</xdr:rowOff>
    </xdr:to>
    <xdr:sp>
      <xdr:nvSpPr>
        <xdr:cNvPr id="336" name="Rectangle 336"/>
        <xdr:cNvSpPr>
          <a:spLocks/>
        </xdr:cNvSpPr>
      </xdr:nvSpPr>
      <xdr:spPr>
        <a:xfrm>
          <a:off x="6886575" y="244030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38100</xdr:colOff>
      <xdr:row>130</xdr:row>
      <xdr:rowOff>0</xdr:rowOff>
    </xdr:from>
    <xdr:to>
      <xdr:col>12</xdr:col>
      <xdr:colOff>314325</xdr:colOff>
      <xdr:row>130</xdr:row>
      <xdr:rowOff>0</xdr:rowOff>
    </xdr:to>
    <xdr:sp>
      <xdr:nvSpPr>
        <xdr:cNvPr id="337" name="Rectangle 337"/>
        <xdr:cNvSpPr>
          <a:spLocks/>
        </xdr:cNvSpPr>
      </xdr:nvSpPr>
      <xdr:spPr>
        <a:xfrm>
          <a:off x="7820025" y="244030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130</xdr:row>
      <xdr:rowOff>0</xdr:rowOff>
    </xdr:from>
    <xdr:to>
      <xdr:col>8</xdr:col>
      <xdr:colOff>314325</xdr:colOff>
      <xdr:row>130</xdr:row>
      <xdr:rowOff>0</xdr:rowOff>
    </xdr:to>
    <xdr:sp>
      <xdr:nvSpPr>
        <xdr:cNvPr id="338" name="Rectangle 338"/>
        <xdr:cNvSpPr>
          <a:spLocks/>
        </xdr:cNvSpPr>
      </xdr:nvSpPr>
      <xdr:spPr>
        <a:xfrm>
          <a:off x="5991225" y="244030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19050</xdr:colOff>
      <xdr:row>130</xdr:row>
      <xdr:rowOff>0</xdr:rowOff>
    </xdr:from>
    <xdr:to>
      <xdr:col>10</xdr:col>
      <xdr:colOff>314325</xdr:colOff>
      <xdr:row>130</xdr:row>
      <xdr:rowOff>0</xdr:rowOff>
    </xdr:to>
    <xdr:sp>
      <xdr:nvSpPr>
        <xdr:cNvPr id="339" name="Rectangle 339"/>
        <xdr:cNvSpPr>
          <a:spLocks/>
        </xdr:cNvSpPr>
      </xdr:nvSpPr>
      <xdr:spPr>
        <a:xfrm>
          <a:off x="6886575" y="244030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38100</xdr:colOff>
      <xdr:row>130</xdr:row>
      <xdr:rowOff>0</xdr:rowOff>
    </xdr:from>
    <xdr:to>
      <xdr:col>12</xdr:col>
      <xdr:colOff>314325</xdr:colOff>
      <xdr:row>130</xdr:row>
      <xdr:rowOff>0</xdr:rowOff>
    </xdr:to>
    <xdr:sp>
      <xdr:nvSpPr>
        <xdr:cNvPr id="340" name="Rectangle 340"/>
        <xdr:cNvSpPr>
          <a:spLocks/>
        </xdr:cNvSpPr>
      </xdr:nvSpPr>
      <xdr:spPr>
        <a:xfrm>
          <a:off x="7820025" y="244030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130</xdr:row>
      <xdr:rowOff>0</xdr:rowOff>
    </xdr:from>
    <xdr:to>
      <xdr:col>10</xdr:col>
      <xdr:colOff>314325</xdr:colOff>
      <xdr:row>130</xdr:row>
      <xdr:rowOff>0</xdr:rowOff>
    </xdr:to>
    <xdr:sp>
      <xdr:nvSpPr>
        <xdr:cNvPr id="341" name="Rectangle 341"/>
        <xdr:cNvSpPr>
          <a:spLocks/>
        </xdr:cNvSpPr>
      </xdr:nvSpPr>
      <xdr:spPr>
        <a:xfrm>
          <a:off x="6905625" y="244030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130</xdr:row>
      <xdr:rowOff>0</xdr:rowOff>
    </xdr:from>
    <xdr:to>
      <xdr:col>12</xdr:col>
      <xdr:colOff>314325</xdr:colOff>
      <xdr:row>130</xdr:row>
      <xdr:rowOff>0</xdr:rowOff>
    </xdr:to>
    <xdr:sp>
      <xdr:nvSpPr>
        <xdr:cNvPr id="342" name="Rectangle 342"/>
        <xdr:cNvSpPr>
          <a:spLocks/>
        </xdr:cNvSpPr>
      </xdr:nvSpPr>
      <xdr:spPr>
        <a:xfrm>
          <a:off x="7800975" y="244030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130</xdr:row>
      <xdr:rowOff>0</xdr:rowOff>
    </xdr:from>
    <xdr:to>
      <xdr:col>10</xdr:col>
      <xdr:colOff>314325</xdr:colOff>
      <xdr:row>130</xdr:row>
      <xdr:rowOff>0</xdr:rowOff>
    </xdr:to>
    <xdr:sp>
      <xdr:nvSpPr>
        <xdr:cNvPr id="343" name="Rectangle 343"/>
        <xdr:cNvSpPr>
          <a:spLocks/>
        </xdr:cNvSpPr>
      </xdr:nvSpPr>
      <xdr:spPr>
        <a:xfrm>
          <a:off x="6905625" y="244030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130</xdr:row>
      <xdr:rowOff>0</xdr:rowOff>
    </xdr:from>
    <xdr:to>
      <xdr:col>12</xdr:col>
      <xdr:colOff>314325</xdr:colOff>
      <xdr:row>130</xdr:row>
      <xdr:rowOff>0</xdr:rowOff>
    </xdr:to>
    <xdr:sp>
      <xdr:nvSpPr>
        <xdr:cNvPr id="344" name="Rectangle 344"/>
        <xdr:cNvSpPr>
          <a:spLocks/>
        </xdr:cNvSpPr>
      </xdr:nvSpPr>
      <xdr:spPr>
        <a:xfrm>
          <a:off x="7800975" y="244030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130</xdr:row>
      <xdr:rowOff>0</xdr:rowOff>
    </xdr:from>
    <xdr:to>
      <xdr:col>10</xdr:col>
      <xdr:colOff>314325</xdr:colOff>
      <xdr:row>130</xdr:row>
      <xdr:rowOff>0</xdr:rowOff>
    </xdr:to>
    <xdr:sp>
      <xdr:nvSpPr>
        <xdr:cNvPr id="345" name="Rectangle 345"/>
        <xdr:cNvSpPr>
          <a:spLocks/>
        </xdr:cNvSpPr>
      </xdr:nvSpPr>
      <xdr:spPr>
        <a:xfrm>
          <a:off x="6905625" y="244030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130</xdr:row>
      <xdr:rowOff>0</xdr:rowOff>
    </xdr:from>
    <xdr:to>
      <xdr:col>12</xdr:col>
      <xdr:colOff>314325</xdr:colOff>
      <xdr:row>130</xdr:row>
      <xdr:rowOff>0</xdr:rowOff>
    </xdr:to>
    <xdr:sp>
      <xdr:nvSpPr>
        <xdr:cNvPr id="346" name="Rectangle 346"/>
        <xdr:cNvSpPr>
          <a:spLocks/>
        </xdr:cNvSpPr>
      </xdr:nvSpPr>
      <xdr:spPr>
        <a:xfrm>
          <a:off x="7800975" y="244030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123825</xdr:colOff>
      <xdr:row>130</xdr:row>
      <xdr:rowOff>0</xdr:rowOff>
    </xdr:from>
    <xdr:to>
      <xdr:col>8</xdr:col>
      <xdr:colOff>400050</xdr:colOff>
      <xdr:row>130</xdr:row>
      <xdr:rowOff>0</xdr:rowOff>
    </xdr:to>
    <xdr:sp>
      <xdr:nvSpPr>
        <xdr:cNvPr id="347" name="Rectangle 347"/>
        <xdr:cNvSpPr>
          <a:spLocks/>
        </xdr:cNvSpPr>
      </xdr:nvSpPr>
      <xdr:spPr>
        <a:xfrm>
          <a:off x="6076950" y="244030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85725</xdr:colOff>
      <xdr:row>130</xdr:row>
      <xdr:rowOff>0</xdr:rowOff>
    </xdr:from>
    <xdr:to>
      <xdr:col>10</xdr:col>
      <xdr:colOff>409575</xdr:colOff>
      <xdr:row>130</xdr:row>
      <xdr:rowOff>0</xdr:rowOff>
    </xdr:to>
    <xdr:sp>
      <xdr:nvSpPr>
        <xdr:cNvPr id="348" name="Rectangle 348"/>
        <xdr:cNvSpPr>
          <a:spLocks/>
        </xdr:cNvSpPr>
      </xdr:nvSpPr>
      <xdr:spPr>
        <a:xfrm>
          <a:off x="6953250" y="24403050"/>
          <a:ext cx="323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130</xdr:row>
      <xdr:rowOff>0</xdr:rowOff>
    </xdr:from>
    <xdr:to>
      <xdr:col>8</xdr:col>
      <xdr:colOff>381000</xdr:colOff>
      <xdr:row>130</xdr:row>
      <xdr:rowOff>0</xdr:rowOff>
    </xdr:to>
    <xdr:sp>
      <xdr:nvSpPr>
        <xdr:cNvPr id="349" name="Rectangle 349"/>
        <xdr:cNvSpPr>
          <a:spLocks/>
        </xdr:cNvSpPr>
      </xdr:nvSpPr>
      <xdr:spPr>
        <a:xfrm>
          <a:off x="5991225" y="24403050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</a:p>
      </xdr:txBody>
    </xdr:sp>
    <xdr:clientData/>
  </xdr:twoCellAnchor>
  <xdr:twoCellAnchor>
    <xdr:from>
      <xdr:col>8</xdr:col>
      <xdr:colOff>123825</xdr:colOff>
      <xdr:row>130</xdr:row>
      <xdr:rowOff>0</xdr:rowOff>
    </xdr:from>
    <xdr:to>
      <xdr:col>8</xdr:col>
      <xdr:colOff>400050</xdr:colOff>
      <xdr:row>130</xdr:row>
      <xdr:rowOff>0</xdr:rowOff>
    </xdr:to>
    <xdr:sp>
      <xdr:nvSpPr>
        <xdr:cNvPr id="350" name="Rectangle 350"/>
        <xdr:cNvSpPr>
          <a:spLocks/>
        </xdr:cNvSpPr>
      </xdr:nvSpPr>
      <xdr:spPr>
        <a:xfrm>
          <a:off x="6076950" y="244030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130</xdr:row>
      <xdr:rowOff>0</xdr:rowOff>
    </xdr:from>
    <xdr:to>
      <xdr:col>8</xdr:col>
      <xdr:colOff>381000</xdr:colOff>
      <xdr:row>130</xdr:row>
      <xdr:rowOff>0</xdr:rowOff>
    </xdr:to>
    <xdr:sp>
      <xdr:nvSpPr>
        <xdr:cNvPr id="351" name="Rectangle 351"/>
        <xdr:cNvSpPr>
          <a:spLocks/>
        </xdr:cNvSpPr>
      </xdr:nvSpPr>
      <xdr:spPr>
        <a:xfrm>
          <a:off x="5991225" y="24403050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</a:p>
      </xdr:txBody>
    </xdr:sp>
    <xdr:clientData/>
  </xdr:twoCellAnchor>
  <xdr:twoCellAnchor>
    <xdr:from>
      <xdr:col>8</xdr:col>
      <xdr:colOff>123825</xdr:colOff>
      <xdr:row>130</xdr:row>
      <xdr:rowOff>0</xdr:rowOff>
    </xdr:from>
    <xdr:to>
      <xdr:col>8</xdr:col>
      <xdr:colOff>400050</xdr:colOff>
      <xdr:row>130</xdr:row>
      <xdr:rowOff>0</xdr:rowOff>
    </xdr:to>
    <xdr:sp>
      <xdr:nvSpPr>
        <xdr:cNvPr id="352" name="Rectangle 352"/>
        <xdr:cNvSpPr>
          <a:spLocks/>
        </xdr:cNvSpPr>
      </xdr:nvSpPr>
      <xdr:spPr>
        <a:xfrm>
          <a:off x="6076950" y="244030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130</xdr:row>
      <xdr:rowOff>0</xdr:rowOff>
    </xdr:from>
    <xdr:to>
      <xdr:col>8</xdr:col>
      <xdr:colOff>381000</xdr:colOff>
      <xdr:row>130</xdr:row>
      <xdr:rowOff>0</xdr:rowOff>
    </xdr:to>
    <xdr:sp>
      <xdr:nvSpPr>
        <xdr:cNvPr id="353" name="Rectangle 353"/>
        <xdr:cNvSpPr>
          <a:spLocks/>
        </xdr:cNvSpPr>
      </xdr:nvSpPr>
      <xdr:spPr>
        <a:xfrm>
          <a:off x="5991225" y="24403050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</a:p>
      </xdr:txBody>
    </xdr:sp>
    <xdr:clientData/>
  </xdr:twoCellAnchor>
  <xdr:twoCellAnchor>
    <xdr:from>
      <xdr:col>8</xdr:col>
      <xdr:colOff>123825</xdr:colOff>
      <xdr:row>130</xdr:row>
      <xdr:rowOff>0</xdr:rowOff>
    </xdr:from>
    <xdr:to>
      <xdr:col>8</xdr:col>
      <xdr:colOff>400050</xdr:colOff>
      <xdr:row>130</xdr:row>
      <xdr:rowOff>0</xdr:rowOff>
    </xdr:to>
    <xdr:sp>
      <xdr:nvSpPr>
        <xdr:cNvPr id="354" name="Rectangle 354"/>
        <xdr:cNvSpPr>
          <a:spLocks/>
        </xdr:cNvSpPr>
      </xdr:nvSpPr>
      <xdr:spPr>
        <a:xfrm>
          <a:off x="6076950" y="244030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85725</xdr:colOff>
      <xdr:row>130</xdr:row>
      <xdr:rowOff>0</xdr:rowOff>
    </xdr:from>
    <xdr:to>
      <xdr:col>10</xdr:col>
      <xdr:colOff>409575</xdr:colOff>
      <xdr:row>130</xdr:row>
      <xdr:rowOff>0</xdr:rowOff>
    </xdr:to>
    <xdr:sp>
      <xdr:nvSpPr>
        <xdr:cNvPr id="355" name="Rectangle 355"/>
        <xdr:cNvSpPr>
          <a:spLocks/>
        </xdr:cNvSpPr>
      </xdr:nvSpPr>
      <xdr:spPr>
        <a:xfrm>
          <a:off x="6953250" y="24403050"/>
          <a:ext cx="323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130</xdr:row>
      <xdr:rowOff>0</xdr:rowOff>
    </xdr:from>
    <xdr:to>
      <xdr:col>8</xdr:col>
      <xdr:colOff>381000</xdr:colOff>
      <xdr:row>130</xdr:row>
      <xdr:rowOff>0</xdr:rowOff>
    </xdr:to>
    <xdr:sp>
      <xdr:nvSpPr>
        <xdr:cNvPr id="356" name="Rectangle 356"/>
        <xdr:cNvSpPr>
          <a:spLocks/>
        </xdr:cNvSpPr>
      </xdr:nvSpPr>
      <xdr:spPr>
        <a:xfrm>
          <a:off x="5991225" y="24403050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</a:p>
      </xdr:txBody>
    </xdr:sp>
    <xdr:clientData/>
  </xdr:twoCellAnchor>
  <xdr:twoCellAnchor>
    <xdr:from>
      <xdr:col>10</xdr:col>
      <xdr:colOff>38100</xdr:colOff>
      <xdr:row>199</xdr:row>
      <xdr:rowOff>0</xdr:rowOff>
    </xdr:from>
    <xdr:to>
      <xdr:col>10</xdr:col>
      <xdr:colOff>314325</xdr:colOff>
      <xdr:row>199</xdr:row>
      <xdr:rowOff>0</xdr:rowOff>
    </xdr:to>
    <xdr:sp>
      <xdr:nvSpPr>
        <xdr:cNvPr id="357" name="Rectangle 357"/>
        <xdr:cNvSpPr>
          <a:spLocks/>
        </xdr:cNvSpPr>
      </xdr:nvSpPr>
      <xdr:spPr>
        <a:xfrm>
          <a:off x="6905625" y="3623310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199</xdr:row>
      <xdr:rowOff>0</xdr:rowOff>
    </xdr:from>
    <xdr:to>
      <xdr:col>12</xdr:col>
      <xdr:colOff>314325</xdr:colOff>
      <xdr:row>199</xdr:row>
      <xdr:rowOff>0</xdr:rowOff>
    </xdr:to>
    <xdr:sp>
      <xdr:nvSpPr>
        <xdr:cNvPr id="358" name="Rectangle 358"/>
        <xdr:cNvSpPr>
          <a:spLocks/>
        </xdr:cNvSpPr>
      </xdr:nvSpPr>
      <xdr:spPr>
        <a:xfrm>
          <a:off x="7800975" y="3623310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182</xdr:row>
      <xdr:rowOff>0</xdr:rowOff>
    </xdr:from>
    <xdr:to>
      <xdr:col>10</xdr:col>
      <xdr:colOff>314325</xdr:colOff>
      <xdr:row>182</xdr:row>
      <xdr:rowOff>0</xdr:rowOff>
    </xdr:to>
    <xdr:sp>
      <xdr:nvSpPr>
        <xdr:cNvPr id="359" name="Rectangle 359"/>
        <xdr:cNvSpPr>
          <a:spLocks/>
        </xdr:cNvSpPr>
      </xdr:nvSpPr>
      <xdr:spPr>
        <a:xfrm>
          <a:off x="6905625" y="3336607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182</xdr:row>
      <xdr:rowOff>0</xdr:rowOff>
    </xdr:from>
    <xdr:to>
      <xdr:col>12</xdr:col>
      <xdr:colOff>314325</xdr:colOff>
      <xdr:row>182</xdr:row>
      <xdr:rowOff>0</xdr:rowOff>
    </xdr:to>
    <xdr:sp>
      <xdr:nvSpPr>
        <xdr:cNvPr id="360" name="Rectangle 360"/>
        <xdr:cNvSpPr>
          <a:spLocks/>
        </xdr:cNvSpPr>
      </xdr:nvSpPr>
      <xdr:spPr>
        <a:xfrm>
          <a:off x="7800975" y="3336607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170</xdr:row>
      <xdr:rowOff>0</xdr:rowOff>
    </xdr:from>
    <xdr:to>
      <xdr:col>8</xdr:col>
      <xdr:colOff>314325</xdr:colOff>
      <xdr:row>170</xdr:row>
      <xdr:rowOff>0</xdr:rowOff>
    </xdr:to>
    <xdr:sp>
      <xdr:nvSpPr>
        <xdr:cNvPr id="361" name="Rectangle 361"/>
        <xdr:cNvSpPr>
          <a:spLocks/>
        </xdr:cNvSpPr>
      </xdr:nvSpPr>
      <xdr:spPr>
        <a:xfrm>
          <a:off x="5991225" y="313658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19050</xdr:colOff>
      <xdr:row>170</xdr:row>
      <xdr:rowOff>0</xdr:rowOff>
    </xdr:from>
    <xdr:to>
      <xdr:col>10</xdr:col>
      <xdr:colOff>314325</xdr:colOff>
      <xdr:row>170</xdr:row>
      <xdr:rowOff>0</xdr:rowOff>
    </xdr:to>
    <xdr:sp>
      <xdr:nvSpPr>
        <xdr:cNvPr id="362" name="Rectangle 362"/>
        <xdr:cNvSpPr>
          <a:spLocks/>
        </xdr:cNvSpPr>
      </xdr:nvSpPr>
      <xdr:spPr>
        <a:xfrm>
          <a:off x="6886575" y="313658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38100</xdr:colOff>
      <xdr:row>170</xdr:row>
      <xdr:rowOff>0</xdr:rowOff>
    </xdr:from>
    <xdr:to>
      <xdr:col>12</xdr:col>
      <xdr:colOff>314325</xdr:colOff>
      <xdr:row>170</xdr:row>
      <xdr:rowOff>0</xdr:rowOff>
    </xdr:to>
    <xdr:sp>
      <xdr:nvSpPr>
        <xdr:cNvPr id="363" name="Rectangle 363"/>
        <xdr:cNvSpPr>
          <a:spLocks/>
        </xdr:cNvSpPr>
      </xdr:nvSpPr>
      <xdr:spPr>
        <a:xfrm>
          <a:off x="7820025" y="313658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167</xdr:row>
      <xdr:rowOff>0</xdr:rowOff>
    </xdr:from>
    <xdr:to>
      <xdr:col>8</xdr:col>
      <xdr:colOff>314325</xdr:colOff>
      <xdr:row>167</xdr:row>
      <xdr:rowOff>0</xdr:rowOff>
    </xdr:to>
    <xdr:sp>
      <xdr:nvSpPr>
        <xdr:cNvPr id="364" name="Rectangle 364"/>
        <xdr:cNvSpPr>
          <a:spLocks/>
        </xdr:cNvSpPr>
      </xdr:nvSpPr>
      <xdr:spPr>
        <a:xfrm>
          <a:off x="5991225" y="307657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19050</xdr:colOff>
      <xdr:row>167</xdr:row>
      <xdr:rowOff>0</xdr:rowOff>
    </xdr:from>
    <xdr:to>
      <xdr:col>10</xdr:col>
      <xdr:colOff>314325</xdr:colOff>
      <xdr:row>167</xdr:row>
      <xdr:rowOff>0</xdr:rowOff>
    </xdr:to>
    <xdr:sp>
      <xdr:nvSpPr>
        <xdr:cNvPr id="365" name="Rectangle 365"/>
        <xdr:cNvSpPr>
          <a:spLocks/>
        </xdr:cNvSpPr>
      </xdr:nvSpPr>
      <xdr:spPr>
        <a:xfrm>
          <a:off x="6886575" y="307657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38100</xdr:colOff>
      <xdr:row>167</xdr:row>
      <xdr:rowOff>0</xdr:rowOff>
    </xdr:from>
    <xdr:to>
      <xdr:col>12</xdr:col>
      <xdr:colOff>314325</xdr:colOff>
      <xdr:row>167</xdr:row>
      <xdr:rowOff>0</xdr:rowOff>
    </xdr:to>
    <xdr:sp>
      <xdr:nvSpPr>
        <xdr:cNvPr id="366" name="Rectangle 366"/>
        <xdr:cNvSpPr>
          <a:spLocks/>
        </xdr:cNvSpPr>
      </xdr:nvSpPr>
      <xdr:spPr>
        <a:xfrm>
          <a:off x="7820025" y="307657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6</xdr:col>
      <xdr:colOff>38100</xdr:colOff>
      <xdr:row>202</xdr:row>
      <xdr:rowOff>0</xdr:rowOff>
    </xdr:from>
    <xdr:to>
      <xdr:col>6</xdr:col>
      <xdr:colOff>314325</xdr:colOff>
      <xdr:row>202</xdr:row>
      <xdr:rowOff>0</xdr:rowOff>
    </xdr:to>
    <xdr:sp>
      <xdr:nvSpPr>
        <xdr:cNvPr id="367" name="Rectangle 367"/>
        <xdr:cNvSpPr>
          <a:spLocks/>
        </xdr:cNvSpPr>
      </xdr:nvSpPr>
      <xdr:spPr>
        <a:xfrm>
          <a:off x="5076825" y="3683317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19050</xdr:colOff>
      <xdr:row>202</xdr:row>
      <xdr:rowOff>0</xdr:rowOff>
    </xdr:from>
    <xdr:to>
      <xdr:col>8</xdr:col>
      <xdr:colOff>314325</xdr:colOff>
      <xdr:row>202</xdr:row>
      <xdr:rowOff>0</xdr:rowOff>
    </xdr:to>
    <xdr:sp>
      <xdr:nvSpPr>
        <xdr:cNvPr id="368" name="Rectangle 368"/>
        <xdr:cNvSpPr>
          <a:spLocks/>
        </xdr:cNvSpPr>
      </xdr:nvSpPr>
      <xdr:spPr>
        <a:xfrm>
          <a:off x="5972175" y="3683317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169</xdr:row>
      <xdr:rowOff>0</xdr:rowOff>
    </xdr:from>
    <xdr:to>
      <xdr:col>10</xdr:col>
      <xdr:colOff>314325</xdr:colOff>
      <xdr:row>169</xdr:row>
      <xdr:rowOff>0</xdr:rowOff>
    </xdr:to>
    <xdr:sp>
      <xdr:nvSpPr>
        <xdr:cNvPr id="369" name="Rectangle 369"/>
        <xdr:cNvSpPr>
          <a:spLocks/>
        </xdr:cNvSpPr>
      </xdr:nvSpPr>
      <xdr:spPr>
        <a:xfrm>
          <a:off x="6905625" y="3116580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169</xdr:row>
      <xdr:rowOff>0</xdr:rowOff>
    </xdr:from>
    <xdr:to>
      <xdr:col>12</xdr:col>
      <xdr:colOff>314325</xdr:colOff>
      <xdr:row>169</xdr:row>
      <xdr:rowOff>0</xdr:rowOff>
    </xdr:to>
    <xdr:sp>
      <xdr:nvSpPr>
        <xdr:cNvPr id="370" name="Rectangle 370"/>
        <xdr:cNvSpPr>
          <a:spLocks/>
        </xdr:cNvSpPr>
      </xdr:nvSpPr>
      <xdr:spPr>
        <a:xfrm>
          <a:off x="7800975" y="3116580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6</xdr:col>
      <xdr:colOff>38100</xdr:colOff>
      <xdr:row>162</xdr:row>
      <xdr:rowOff>0</xdr:rowOff>
    </xdr:from>
    <xdr:to>
      <xdr:col>6</xdr:col>
      <xdr:colOff>314325</xdr:colOff>
      <xdr:row>162</xdr:row>
      <xdr:rowOff>0</xdr:rowOff>
    </xdr:to>
    <xdr:sp>
      <xdr:nvSpPr>
        <xdr:cNvPr id="371" name="Rectangle 371"/>
        <xdr:cNvSpPr>
          <a:spLocks/>
        </xdr:cNvSpPr>
      </xdr:nvSpPr>
      <xdr:spPr>
        <a:xfrm>
          <a:off x="5076825" y="2989897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162</xdr:row>
      <xdr:rowOff>0</xdr:rowOff>
    </xdr:from>
    <xdr:to>
      <xdr:col>12</xdr:col>
      <xdr:colOff>314325</xdr:colOff>
      <xdr:row>162</xdr:row>
      <xdr:rowOff>0</xdr:rowOff>
    </xdr:to>
    <xdr:sp>
      <xdr:nvSpPr>
        <xdr:cNvPr id="372" name="Rectangle 372"/>
        <xdr:cNvSpPr>
          <a:spLocks/>
        </xdr:cNvSpPr>
      </xdr:nvSpPr>
      <xdr:spPr>
        <a:xfrm>
          <a:off x="7800975" y="2989897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6</xdr:col>
      <xdr:colOff>19050</xdr:colOff>
      <xdr:row>202</xdr:row>
      <xdr:rowOff>0</xdr:rowOff>
    </xdr:from>
    <xdr:to>
      <xdr:col>6</xdr:col>
      <xdr:colOff>314325</xdr:colOff>
      <xdr:row>202</xdr:row>
      <xdr:rowOff>0</xdr:rowOff>
    </xdr:to>
    <xdr:sp>
      <xdr:nvSpPr>
        <xdr:cNvPr id="373" name="Rectangle 373"/>
        <xdr:cNvSpPr>
          <a:spLocks/>
        </xdr:cNvSpPr>
      </xdr:nvSpPr>
      <xdr:spPr>
        <a:xfrm>
          <a:off x="5057775" y="3683317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202</xdr:row>
      <xdr:rowOff>0</xdr:rowOff>
    </xdr:from>
    <xdr:to>
      <xdr:col>8</xdr:col>
      <xdr:colOff>314325</xdr:colOff>
      <xdr:row>202</xdr:row>
      <xdr:rowOff>0</xdr:rowOff>
    </xdr:to>
    <xdr:sp>
      <xdr:nvSpPr>
        <xdr:cNvPr id="374" name="Rectangle 374"/>
        <xdr:cNvSpPr>
          <a:spLocks/>
        </xdr:cNvSpPr>
      </xdr:nvSpPr>
      <xdr:spPr>
        <a:xfrm>
          <a:off x="5991225" y="3683317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188</xdr:row>
      <xdr:rowOff>0</xdr:rowOff>
    </xdr:from>
    <xdr:to>
      <xdr:col>10</xdr:col>
      <xdr:colOff>314325</xdr:colOff>
      <xdr:row>188</xdr:row>
      <xdr:rowOff>0</xdr:rowOff>
    </xdr:to>
    <xdr:sp>
      <xdr:nvSpPr>
        <xdr:cNvPr id="375" name="Rectangle 375"/>
        <xdr:cNvSpPr>
          <a:spLocks/>
        </xdr:cNvSpPr>
      </xdr:nvSpPr>
      <xdr:spPr>
        <a:xfrm>
          <a:off x="6905625" y="3443287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188</xdr:row>
      <xdr:rowOff>0</xdr:rowOff>
    </xdr:from>
    <xdr:to>
      <xdr:col>12</xdr:col>
      <xdr:colOff>314325</xdr:colOff>
      <xdr:row>188</xdr:row>
      <xdr:rowOff>0</xdr:rowOff>
    </xdr:to>
    <xdr:sp>
      <xdr:nvSpPr>
        <xdr:cNvPr id="376" name="Rectangle 376"/>
        <xdr:cNvSpPr>
          <a:spLocks/>
        </xdr:cNvSpPr>
      </xdr:nvSpPr>
      <xdr:spPr>
        <a:xfrm>
          <a:off x="7800975" y="3443287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188</xdr:row>
      <xdr:rowOff>0</xdr:rowOff>
    </xdr:from>
    <xdr:to>
      <xdr:col>8</xdr:col>
      <xdr:colOff>314325</xdr:colOff>
      <xdr:row>188</xdr:row>
      <xdr:rowOff>0</xdr:rowOff>
    </xdr:to>
    <xdr:sp>
      <xdr:nvSpPr>
        <xdr:cNvPr id="377" name="Rectangle 377"/>
        <xdr:cNvSpPr>
          <a:spLocks/>
        </xdr:cNvSpPr>
      </xdr:nvSpPr>
      <xdr:spPr>
        <a:xfrm>
          <a:off x="5991225" y="3443287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19050</xdr:colOff>
      <xdr:row>188</xdr:row>
      <xdr:rowOff>0</xdr:rowOff>
    </xdr:from>
    <xdr:to>
      <xdr:col>10</xdr:col>
      <xdr:colOff>314325</xdr:colOff>
      <xdr:row>188</xdr:row>
      <xdr:rowOff>0</xdr:rowOff>
    </xdr:to>
    <xdr:sp>
      <xdr:nvSpPr>
        <xdr:cNvPr id="378" name="Rectangle 378"/>
        <xdr:cNvSpPr>
          <a:spLocks/>
        </xdr:cNvSpPr>
      </xdr:nvSpPr>
      <xdr:spPr>
        <a:xfrm>
          <a:off x="6886575" y="3443287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38100</xdr:colOff>
      <xdr:row>188</xdr:row>
      <xdr:rowOff>0</xdr:rowOff>
    </xdr:from>
    <xdr:to>
      <xdr:col>12</xdr:col>
      <xdr:colOff>314325</xdr:colOff>
      <xdr:row>188</xdr:row>
      <xdr:rowOff>0</xdr:rowOff>
    </xdr:to>
    <xdr:sp>
      <xdr:nvSpPr>
        <xdr:cNvPr id="379" name="Rectangle 379"/>
        <xdr:cNvSpPr>
          <a:spLocks/>
        </xdr:cNvSpPr>
      </xdr:nvSpPr>
      <xdr:spPr>
        <a:xfrm>
          <a:off x="7820025" y="3443287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167</xdr:row>
      <xdr:rowOff>0</xdr:rowOff>
    </xdr:from>
    <xdr:to>
      <xdr:col>8</xdr:col>
      <xdr:colOff>314325</xdr:colOff>
      <xdr:row>167</xdr:row>
      <xdr:rowOff>0</xdr:rowOff>
    </xdr:to>
    <xdr:sp>
      <xdr:nvSpPr>
        <xdr:cNvPr id="380" name="Rectangle 380"/>
        <xdr:cNvSpPr>
          <a:spLocks/>
        </xdr:cNvSpPr>
      </xdr:nvSpPr>
      <xdr:spPr>
        <a:xfrm>
          <a:off x="5991225" y="307657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19050</xdr:colOff>
      <xdr:row>167</xdr:row>
      <xdr:rowOff>0</xdr:rowOff>
    </xdr:from>
    <xdr:to>
      <xdr:col>10</xdr:col>
      <xdr:colOff>314325</xdr:colOff>
      <xdr:row>167</xdr:row>
      <xdr:rowOff>0</xdr:rowOff>
    </xdr:to>
    <xdr:sp>
      <xdr:nvSpPr>
        <xdr:cNvPr id="381" name="Rectangle 381"/>
        <xdr:cNvSpPr>
          <a:spLocks/>
        </xdr:cNvSpPr>
      </xdr:nvSpPr>
      <xdr:spPr>
        <a:xfrm>
          <a:off x="6886575" y="307657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38100</xdr:colOff>
      <xdr:row>167</xdr:row>
      <xdr:rowOff>0</xdr:rowOff>
    </xdr:from>
    <xdr:to>
      <xdr:col>12</xdr:col>
      <xdr:colOff>314325</xdr:colOff>
      <xdr:row>167</xdr:row>
      <xdr:rowOff>0</xdr:rowOff>
    </xdr:to>
    <xdr:sp>
      <xdr:nvSpPr>
        <xdr:cNvPr id="382" name="Rectangle 382"/>
        <xdr:cNvSpPr>
          <a:spLocks/>
        </xdr:cNvSpPr>
      </xdr:nvSpPr>
      <xdr:spPr>
        <a:xfrm>
          <a:off x="7820025" y="307657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182</xdr:row>
      <xdr:rowOff>0</xdr:rowOff>
    </xdr:from>
    <xdr:to>
      <xdr:col>10</xdr:col>
      <xdr:colOff>314325</xdr:colOff>
      <xdr:row>182</xdr:row>
      <xdr:rowOff>0</xdr:rowOff>
    </xdr:to>
    <xdr:sp>
      <xdr:nvSpPr>
        <xdr:cNvPr id="383" name="Rectangle 383"/>
        <xdr:cNvSpPr>
          <a:spLocks/>
        </xdr:cNvSpPr>
      </xdr:nvSpPr>
      <xdr:spPr>
        <a:xfrm>
          <a:off x="6905625" y="3336607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182</xdr:row>
      <xdr:rowOff>0</xdr:rowOff>
    </xdr:from>
    <xdr:to>
      <xdr:col>12</xdr:col>
      <xdr:colOff>314325</xdr:colOff>
      <xdr:row>182</xdr:row>
      <xdr:rowOff>0</xdr:rowOff>
    </xdr:to>
    <xdr:sp>
      <xdr:nvSpPr>
        <xdr:cNvPr id="384" name="Rectangle 384"/>
        <xdr:cNvSpPr>
          <a:spLocks/>
        </xdr:cNvSpPr>
      </xdr:nvSpPr>
      <xdr:spPr>
        <a:xfrm>
          <a:off x="7800975" y="3336607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167</xdr:row>
      <xdr:rowOff>0</xdr:rowOff>
    </xdr:from>
    <xdr:to>
      <xdr:col>10</xdr:col>
      <xdr:colOff>314325</xdr:colOff>
      <xdr:row>167</xdr:row>
      <xdr:rowOff>0</xdr:rowOff>
    </xdr:to>
    <xdr:sp>
      <xdr:nvSpPr>
        <xdr:cNvPr id="385" name="Rectangle 385"/>
        <xdr:cNvSpPr>
          <a:spLocks/>
        </xdr:cNvSpPr>
      </xdr:nvSpPr>
      <xdr:spPr>
        <a:xfrm>
          <a:off x="6905625" y="307657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167</xdr:row>
      <xdr:rowOff>0</xdr:rowOff>
    </xdr:from>
    <xdr:to>
      <xdr:col>12</xdr:col>
      <xdr:colOff>314325</xdr:colOff>
      <xdr:row>167</xdr:row>
      <xdr:rowOff>0</xdr:rowOff>
    </xdr:to>
    <xdr:sp>
      <xdr:nvSpPr>
        <xdr:cNvPr id="386" name="Rectangle 386"/>
        <xdr:cNvSpPr>
          <a:spLocks/>
        </xdr:cNvSpPr>
      </xdr:nvSpPr>
      <xdr:spPr>
        <a:xfrm>
          <a:off x="7800975" y="307657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198</xdr:row>
      <xdr:rowOff>0</xdr:rowOff>
    </xdr:from>
    <xdr:to>
      <xdr:col>10</xdr:col>
      <xdr:colOff>314325</xdr:colOff>
      <xdr:row>198</xdr:row>
      <xdr:rowOff>0</xdr:rowOff>
    </xdr:to>
    <xdr:sp>
      <xdr:nvSpPr>
        <xdr:cNvPr id="387" name="Rectangle 387"/>
        <xdr:cNvSpPr>
          <a:spLocks/>
        </xdr:cNvSpPr>
      </xdr:nvSpPr>
      <xdr:spPr>
        <a:xfrm>
          <a:off x="6905625" y="3603307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198</xdr:row>
      <xdr:rowOff>0</xdr:rowOff>
    </xdr:from>
    <xdr:to>
      <xdr:col>12</xdr:col>
      <xdr:colOff>314325</xdr:colOff>
      <xdr:row>198</xdr:row>
      <xdr:rowOff>0</xdr:rowOff>
    </xdr:to>
    <xdr:sp>
      <xdr:nvSpPr>
        <xdr:cNvPr id="388" name="Rectangle 388"/>
        <xdr:cNvSpPr>
          <a:spLocks/>
        </xdr:cNvSpPr>
      </xdr:nvSpPr>
      <xdr:spPr>
        <a:xfrm>
          <a:off x="7800975" y="3603307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123825</xdr:colOff>
      <xdr:row>199</xdr:row>
      <xdr:rowOff>0</xdr:rowOff>
    </xdr:from>
    <xdr:to>
      <xdr:col>8</xdr:col>
      <xdr:colOff>400050</xdr:colOff>
      <xdr:row>199</xdr:row>
      <xdr:rowOff>0</xdr:rowOff>
    </xdr:to>
    <xdr:sp>
      <xdr:nvSpPr>
        <xdr:cNvPr id="389" name="Rectangle 389"/>
        <xdr:cNvSpPr>
          <a:spLocks/>
        </xdr:cNvSpPr>
      </xdr:nvSpPr>
      <xdr:spPr>
        <a:xfrm>
          <a:off x="6076950" y="3623310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85725</xdr:colOff>
      <xdr:row>199</xdr:row>
      <xdr:rowOff>0</xdr:rowOff>
    </xdr:from>
    <xdr:to>
      <xdr:col>10</xdr:col>
      <xdr:colOff>409575</xdr:colOff>
      <xdr:row>199</xdr:row>
      <xdr:rowOff>0</xdr:rowOff>
    </xdr:to>
    <xdr:sp>
      <xdr:nvSpPr>
        <xdr:cNvPr id="390" name="Rectangle 390"/>
        <xdr:cNvSpPr>
          <a:spLocks/>
        </xdr:cNvSpPr>
      </xdr:nvSpPr>
      <xdr:spPr>
        <a:xfrm>
          <a:off x="6953250" y="36233100"/>
          <a:ext cx="323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199</xdr:row>
      <xdr:rowOff>0</xdr:rowOff>
    </xdr:from>
    <xdr:to>
      <xdr:col>8</xdr:col>
      <xdr:colOff>381000</xdr:colOff>
      <xdr:row>199</xdr:row>
      <xdr:rowOff>0</xdr:rowOff>
    </xdr:to>
    <xdr:sp>
      <xdr:nvSpPr>
        <xdr:cNvPr id="391" name="Rectangle 391"/>
        <xdr:cNvSpPr>
          <a:spLocks/>
        </xdr:cNvSpPr>
      </xdr:nvSpPr>
      <xdr:spPr>
        <a:xfrm>
          <a:off x="5991225" y="36233100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</a:p>
      </xdr:txBody>
    </xdr:sp>
    <xdr:clientData/>
  </xdr:twoCellAnchor>
  <xdr:twoCellAnchor>
    <xdr:from>
      <xdr:col>8</xdr:col>
      <xdr:colOff>123825</xdr:colOff>
      <xdr:row>199</xdr:row>
      <xdr:rowOff>0</xdr:rowOff>
    </xdr:from>
    <xdr:to>
      <xdr:col>8</xdr:col>
      <xdr:colOff>400050</xdr:colOff>
      <xdr:row>199</xdr:row>
      <xdr:rowOff>0</xdr:rowOff>
    </xdr:to>
    <xdr:sp>
      <xdr:nvSpPr>
        <xdr:cNvPr id="392" name="Rectangle 392"/>
        <xdr:cNvSpPr>
          <a:spLocks/>
        </xdr:cNvSpPr>
      </xdr:nvSpPr>
      <xdr:spPr>
        <a:xfrm>
          <a:off x="6076950" y="3623310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199</xdr:row>
      <xdr:rowOff>0</xdr:rowOff>
    </xdr:from>
    <xdr:to>
      <xdr:col>8</xdr:col>
      <xdr:colOff>381000</xdr:colOff>
      <xdr:row>199</xdr:row>
      <xdr:rowOff>0</xdr:rowOff>
    </xdr:to>
    <xdr:sp>
      <xdr:nvSpPr>
        <xdr:cNvPr id="393" name="Rectangle 393"/>
        <xdr:cNvSpPr>
          <a:spLocks/>
        </xdr:cNvSpPr>
      </xdr:nvSpPr>
      <xdr:spPr>
        <a:xfrm>
          <a:off x="5991225" y="36233100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</a:p>
      </xdr:txBody>
    </xdr:sp>
    <xdr:clientData/>
  </xdr:twoCellAnchor>
  <xdr:twoCellAnchor>
    <xdr:from>
      <xdr:col>8</xdr:col>
      <xdr:colOff>123825</xdr:colOff>
      <xdr:row>199</xdr:row>
      <xdr:rowOff>0</xdr:rowOff>
    </xdr:from>
    <xdr:to>
      <xdr:col>8</xdr:col>
      <xdr:colOff>400050</xdr:colOff>
      <xdr:row>199</xdr:row>
      <xdr:rowOff>0</xdr:rowOff>
    </xdr:to>
    <xdr:sp>
      <xdr:nvSpPr>
        <xdr:cNvPr id="394" name="Rectangle 394"/>
        <xdr:cNvSpPr>
          <a:spLocks/>
        </xdr:cNvSpPr>
      </xdr:nvSpPr>
      <xdr:spPr>
        <a:xfrm>
          <a:off x="6076950" y="3623310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199</xdr:row>
      <xdr:rowOff>0</xdr:rowOff>
    </xdr:from>
    <xdr:to>
      <xdr:col>8</xdr:col>
      <xdr:colOff>381000</xdr:colOff>
      <xdr:row>199</xdr:row>
      <xdr:rowOff>0</xdr:rowOff>
    </xdr:to>
    <xdr:sp>
      <xdr:nvSpPr>
        <xdr:cNvPr id="395" name="Rectangle 395"/>
        <xdr:cNvSpPr>
          <a:spLocks/>
        </xdr:cNvSpPr>
      </xdr:nvSpPr>
      <xdr:spPr>
        <a:xfrm>
          <a:off x="5991225" y="36233100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</a:p>
      </xdr:txBody>
    </xdr:sp>
    <xdr:clientData/>
  </xdr:twoCellAnchor>
  <xdr:twoCellAnchor>
    <xdr:from>
      <xdr:col>8</xdr:col>
      <xdr:colOff>123825</xdr:colOff>
      <xdr:row>199</xdr:row>
      <xdr:rowOff>0</xdr:rowOff>
    </xdr:from>
    <xdr:to>
      <xdr:col>8</xdr:col>
      <xdr:colOff>400050</xdr:colOff>
      <xdr:row>199</xdr:row>
      <xdr:rowOff>0</xdr:rowOff>
    </xdr:to>
    <xdr:sp>
      <xdr:nvSpPr>
        <xdr:cNvPr id="396" name="Rectangle 396"/>
        <xdr:cNvSpPr>
          <a:spLocks/>
        </xdr:cNvSpPr>
      </xdr:nvSpPr>
      <xdr:spPr>
        <a:xfrm>
          <a:off x="6076950" y="3623310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85725</xdr:colOff>
      <xdr:row>199</xdr:row>
      <xdr:rowOff>0</xdr:rowOff>
    </xdr:from>
    <xdr:to>
      <xdr:col>10</xdr:col>
      <xdr:colOff>409575</xdr:colOff>
      <xdr:row>199</xdr:row>
      <xdr:rowOff>0</xdr:rowOff>
    </xdr:to>
    <xdr:sp>
      <xdr:nvSpPr>
        <xdr:cNvPr id="397" name="Rectangle 397"/>
        <xdr:cNvSpPr>
          <a:spLocks/>
        </xdr:cNvSpPr>
      </xdr:nvSpPr>
      <xdr:spPr>
        <a:xfrm>
          <a:off x="6953250" y="36233100"/>
          <a:ext cx="323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199</xdr:row>
      <xdr:rowOff>0</xdr:rowOff>
    </xdr:from>
    <xdr:to>
      <xdr:col>8</xdr:col>
      <xdr:colOff>381000</xdr:colOff>
      <xdr:row>199</xdr:row>
      <xdr:rowOff>0</xdr:rowOff>
    </xdr:to>
    <xdr:sp>
      <xdr:nvSpPr>
        <xdr:cNvPr id="398" name="Rectangle 398"/>
        <xdr:cNvSpPr>
          <a:spLocks/>
        </xdr:cNvSpPr>
      </xdr:nvSpPr>
      <xdr:spPr>
        <a:xfrm>
          <a:off x="5991225" y="36233100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</a:p>
      </xdr:txBody>
    </xdr:sp>
    <xdr:clientData/>
  </xdr:twoCellAnchor>
  <xdr:twoCellAnchor>
    <xdr:from>
      <xdr:col>10</xdr:col>
      <xdr:colOff>38100</xdr:colOff>
      <xdr:row>201</xdr:row>
      <xdr:rowOff>0</xdr:rowOff>
    </xdr:from>
    <xdr:to>
      <xdr:col>10</xdr:col>
      <xdr:colOff>314325</xdr:colOff>
      <xdr:row>201</xdr:row>
      <xdr:rowOff>0</xdr:rowOff>
    </xdr:to>
    <xdr:sp>
      <xdr:nvSpPr>
        <xdr:cNvPr id="399" name="Rectangle 399"/>
        <xdr:cNvSpPr>
          <a:spLocks/>
        </xdr:cNvSpPr>
      </xdr:nvSpPr>
      <xdr:spPr>
        <a:xfrm>
          <a:off x="6905625" y="366331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201</xdr:row>
      <xdr:rowOff>0</xdr:rowOff>
    </xdr:from>
    <xdr:to>
      <xdr:col>12</xdr:col>
      <xdr:colOff>314325</xdr:colOff>
      <xdr:row>201</xdr:row>
      <xdr:rowOff>0</xdr:rowOff>
    </xdr:to>
    <xdr:sp>
      <xdr:nvSpPr>
        <xdr:cNvPr id="400" name="Rectangle 400"/>
        <xdr:cNvSpPr>
          <a:spLocks/>
        </xdr:cNvSpPr>
      </xdr:nvSpPr>
      <xdr:spPr>
        <a:xfrm>
          <a:off x="7800975" y="366331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170</xdr:row>
      <xdr:rowOff>0</xdr:rowOff>
    </xdr:from>
    <xdr:to>
      <xdr:col>10</xdr:col>
      <xdr:colOff>314325</xdr:colOff>
      <xdr:row>170</xdr:row>
      <xdr:rowOff>0</xdr:rowOff>
    </xdr:to>
    <xdr:sp>
      <xdr:nvSpPr>
        <xdr:cNvPr id="401" name="Rectangle 401"/>
        <xdr:cNvSpPr>
          <a:spLocks/>
        </xdr:cNvSpPr>
      </xdr:nvSpPr>
      <xdr:spPr>
        <a:xfrm>
          <a:off x="6905625" y="313658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170</xdr:row>
      <xdr:rowOff>0</xdr:rowOff>
    </xdr:from>
    <xdr:to>
      <xdr:col>12</xdr:col>
      <xdr:colOff>314325</xdr:colOff>
      <xdr:row>170</xdr:row>
      <xdr:rowOff>0</xdr:rowOff>
    </xdr:to>
    <xdr:sp>
      <xdr:nvSpPr>
        <xdr:cNvPr id="402" name="Rectangle 402"/>
        <xdr:cNvSpPr>
          <a:spLocks/>
        </xdr:cNvSpPr>
      </xdr:nvSpPr>
      <xdr:spPr>
        <a:xfrm>
          <a:off x="7800975" y="313658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169</xdr:row>
      <xdr:rowOff>0</xdr:rowOff>
    </xdr:from>
    <xdr:to>
      <xdr:col>8</xdr:col>
      <xdr:colOff>314325</xdr:colOff>
      <xdr:row>169</xdr:row>
      <xdr:rowOff>0</xdr:rowOff>
    </xdr:to>
    <xdr:sp>
      <xdr:nvSpPr>
        <xdr:cNvPr id="403" name="Rectangle 403"/>
        <xdr:cNvSpPr>
          <a:spLocks/>
        </xdr:cNvSpPr>
      </xdr:nvSpPr>
      <xdr:spPr>
        <a:xfrm>
          <a:off x="5991225" y="3116580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19050</xdr:colOff>
      <xdr:row>169</xdr:row>
      <xdr:rowOff>0</xdr:rowOff>
    </xdr:from>
    <xdr:to>
      <xdr:col>10</xdr:col>
      <xdr:colOff>314325</xdr:colOff>
      <xdr:row>169</xdr:row>
      <xdr:rowOff>0</xdr:rowOff>
    </xdr:to>
    <xdr:sp>
      <xdr:nvSpPr>
        <xdr:cNvPr id="404" name="Rectangle 404"/>
        <xdr:cNvSpPr>
          <a:spLocks/>
        </xdr:cNvSpPr>
      </xdr:nvSpPr>
      <xdr:spPr>
        <a:xfrm>
          <a:off x="6886575" y="3116580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38100</xdr:colOff>
      <xdr:row>169</xdr:row>
      <xdr:rowOff>0</xdr:rowOff>
    </xdr:from>
    <xdr:to>
      <xdr:col>12</xdr:col>
      <xdr:colOff>314325</xdr:colOff>
      <xdr:row>169</xdr:row>
      <xdr:rowOff>0</xdr:rowOff>
    </xdr:to>
    <xdr:sp>
      <xdr:nvSpPr>
        <xdr:cNvPr id="405" name="Rectangle 405"/>
        <xdr:cNvSpPr>
          <a:spLocks/>
        </xdr:cNvSpPr>
      </xdr:nvSpPr>
      <xdr:spPr>
        <a:xfrm>
          <a:off x="7820025" y="3116580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167</xdr:row>
      <xdr:rowOff>0</xdr:rowOff>
    </xdr:from>
    <xdr:to>
      <xdr:col>8</xdr:col>
      <xdr:colOff>314325</xdr:colOff>
      <xdr:row>167</xdr:row>
      <xdr:rowOff>0</xdr:rowOff>
    </xdr:to>
    <xdr:sp>
      <xdr:nvSpPr>
        <xdr:cNvPr id="406" name="Rectangle 406"/>
        <xdr:cNvSpPr>
          <a:spLocks/>
        </xdr:cNvSpPr>
      </xdr:nvSpPr>
      <xdr:spPr>
        <a:xfrm>
          <a:off x="5991225" y="307657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19050</xdr:colOff>
      <xdr:row>167</xdr:row>
      <xdr:rowOff>0</xdr:rowOff>
    </xdr:from>
    <xdr:to>
      <xdr:col>10</xdr:col>
      <xdr:colOff>314325</xdr:colOff>
      <xdr:row>167</xdr:row>
      <xdr:rowOff>0</xdr:rowOff>
    </xdr:to>
    <xdr:sp>
      <xdr:nvSpPr>
        <xdr:cNvPr id="407" name="Rectangle 407"/>
        <xdr:cNvSpPr>
          <a:spLocks/>
        </xdr:cNvSpPr>
      </xdr:nvSpPr>
      <xdr:spPr>
        <a:xfrm>
          <a:off x="6886575" y="307657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38100</xdr:colOff>
      <xdr:row>167</xdr:row>
      <xdr:rowOff>0</xdr:rowOff>
    </xdr:from>
    <xdr:to>
      <xdr:col>12</xdr:col>
      <xdr:colOff>314325</xdr:colOff>
      <xdr:row>167</xdr:row>
      <xdr:rowOff>0</xdr:rowOff>
    </xdr:to>
    <xdr:sp>
      <xdr:nvSpPr>
        <xdr:cNvPr id="408" name="Rectangle 408"/>
        <xdr:cNvSpPr>
          <a:spLocks/>
        </xdr:cNvSpPr>
      </xdr:nvSpPr>
      <xdr:spPr>
        <a:xfrm>
          <a:off x="7820025" y="307657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6</xdr:col>
      <xdr:colOff>38100</xdr:colOff>
      <xdr:row>204</xdr:row>
      <xdr:rowOff>0</xdr:rowOff>
    </xdr:from>
    <xdr:to>
      <xdr:col>6</xdr:col>
      <xdr:colOff>314325</xdr:colOff>
      <xdr:row>204</xdr:row>
      <xdr:rowOff>0</xdr:rowOff>
    </xdr:to>
    <xdr:sp>
      <xdr:nvSpPr>
        <xdr:cNvPr id="409" name="Rectangle 409"/>
        <xdr:cNvSpPr>
          <a:spLocks/>
        </xdr:cNvSpPr>
      </xdr:nvSpPr>
      <xdr:spPr>
        <a:xfrm>
          <a:off x="5076825" y="372332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19050</xdr:colOff>
      <xdr:row>204</xdr:row>
      <xdr:rowOff>0</xdr:rowOff>
    </xdr:from>
    <xdr:to>
      <xdr:col>8</xdr:col>
      <xdr:colOff>314325</xdr:colOff>
      <xdr:row>204</xdr:row>
      <xdr:rowOff>0</xdr:rowOff>
    </xdr:to>
    <xdr:sp>
      <xdr:nvSpPr>
        <xdr:cNvPr id="410" name="Rectangle 410"/>
        <xdr:cNvSpPr>
          <a:spLocks/>
        </xdr:cNvSpPr>
      </xdr:nvSpPr>
      <xdr:spPr>
        <a:xfrm>
          <a:off x="5972175" y="372332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168</xdr:row>
      <xdr:rowOff>0</xdr:rowOff>
    </xdr:from>
    <xdr:to>
      <xdr:col>10</xdr:col>
      <xdr:colOff>314325</xdr:colOff>
      <xdr:row>168</xdr:row>
      <xdr:rowOff>0</xdr:rowOff>
    </xdr:to>
    <xdr:sp>
      <xdr:nvSpPr>
        <xdr:cNvPr id="411" name="Rectangle 411"/>
        <xdr:cNvSpPr>
          <a:spLocks/>
        </xdr:cNvSpPr>
      </xdr:nvSpPr>
      <xdr:spPr>
        <a:xfrm>
          <a:off x="6905625" y="3096577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168</xdr:row>
      <xdr:rowOff>0</xdr:rowOff>
    </xdr:from>
    <xdr:to>
      <xdr:col>12</xdr:col>
      <xdr:colOff>314325</xdr:colOff>
      <xdr:row>168</xdr:row>
      <xdr:rowOff>0</xdr:rowOff>
    </xdr:to>
    <xdr:sp>
      <xdr:nvSpPr>
        <xdr:cNvPr id="412" name="Rectangle 412"/>
        <xdr:cNvSpPr>
          <a:spLocks/>
        </xdr:cNvSpPr>
      </xdr:nvSpPr>
      <xdr:spPr>
        <a:xfrm>
          <a:off x="7800975" y="3096577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6</xdr:col>
      <xdr:colOff>38100</xdr:colOff>
      <xdr:row>160</xdr:row>
      <xdr:rowOff>0</xdr:rowOff>
    </xdr:from>
    <xdr:to>
      <xdr:col>6</xdr:col>
      <xdr:colOff>314325</xdr:colOff>
      <xdr:row>160</xdr:row>
      <xdr:rowOff>0</xdr:rowOff>
    </xdr:to>
    <xdr:sp>
      <xdr:nvSpPr>
        <xdr:cNvPr id="413" name="Rectangle 413"/>
        <xdr:cNvSpPr>
          <a:spLocks/>
        </xdr:cNvSpPr>
      </xdr:nvSpPr>
      <xdr:spPr>
        <a:xfrm>
          <a:off x="5076825" y="296227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6</xdr:col>
      <xdr:colOff>19050</xdr:colOff>
      <xdr:row>160</xdr:row>
      <xdr:rowOff>0</xdr:rowOff>
    </xdr:from>
    <xdr:to>
      <xdr:col>6</xdr:col>
      <xdr:colOff>314325</xdr:colOff>
      <xdr:row>160</xdr:row>
      <xdr:rowOff>0</xdr:rowOff>
    </xdr:to>
    <xdr:sp>
      <xdr:nvSpPr>
        <xdr:cNvPr id="414" name="Rectangle 414"/>
        <xdr:cNvSpPr>
          <a:spLocks/>
        </xdr:cNvSpPr>
      </xdr:nvSpPr>
      <xdr:spPr>
        <a:xfrm>
          <a:off x="5057775" y="296227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38100</xdr:colOff>
      <xdr:row>160</xdr:row>
      <xdr:rowOff>0</xdr:rowOff>
    </xdr:from>
    <xdr:to>
      <xdr:col>12</xdr:col>
      <xdr:colOff>314325</xdr:colOff>
      <xdr:row>160</xdr:row>
      <xdr:rowOff>0</xdr:rowOff>
    </xdr:to>
    <xdr:sp>
      <xdr:nvSpPr>
        <xdr:cNvPr id="415" name="Rectangle 415"/>
        <xdr:cNvSpPr>
          <a:spLocks/>
        </xdr:cNvSpPr>
      </xdr:nvSpPr>
      <xdr:spPr>
        <a:xfrm>
          <a:off x="7820025" y="296227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6</xdr:col>
      <xdr:colOff>19050</xdr:colOff>
      <xdr:row>204</xdr:row>
      <xdr:rowOff>0</xdr:rowOff>
    </xdr:from>
    <xdr:to>
      <xdr:col>6</xdr:col>
      <xdr:colOff>314325</xdr:colOff>
      <xdr:row>204</xdr:row>
      <xdr:rowOff>0</xdr:rowOff>
    </xdr:to>
    <xdr:sp>
      <xdr:nvSpPr>
        <xdr:cNvPr id="416" name="Rectangle 416"/>
        <xdr:cNvSpPr>
          <a:spLocks/>
        </xdr:cNvSpPr>
      </xdr:nvSpPr>
      <xdr:spPr>
        <a:xfrm>
          <a:off x="5057775" y="372332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204</xdr:row>
      <xdr:rowOff>0</xdr:rowOff>
    </xdr:from>
    <xdr:to>
      <xdr:col>8</xdr:col>
      <xdr:colOff>314325</xdr:colOff>
      <xdr:row>204</xdr:row>
      <xdr:rowOff>0</xdr:rowOff>
    </xdr:to>
    <xdr:sp>
      <xdr:nvSpPr>
        <xdr:cNvPr id="417" name="Rectangle 417"/>
        <xdr:cNvSpPr>
          <a:spLocks/>
        </xdr:cNvSpPr>
      </xdr:nvSpPr>
      <xdr:spPr>
        <a:xfrm>
          <a:off x="5991225" y="372332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194</xdr:row>
      <xdr:rowOff>0</xdr:rowOff>
    </xdr:from>
    <xdr:to>
      <xdr:col>10</xdr:col>
      <xdr:colOff>314325</xdr:colOff>
      <xdr:row>194</xdr:row>
      <xdr:rowOff>0</xdr:rowOff>
    </xdr:to>
    <xdr:sp>
      <xdr:nvSpPr>
        <xdr:cNvPr id="418" name="Rectangle 418"/>
        <xdr:cNvSpPr>
          <a:spLocks/>
        </xdr:cNvSpPr>
      </xdr:nvSpPr>
      <xdr:spPr>
        <a:xfrm>
          <a:off x="6905625" y="3549967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194</xdr:row>
      <xdr:rowOff>0</xdr:rowOff>
    </xdr:from>
    <xdr:to>
      <xdr:col>12</xdr:col>
      <xdr:colOff>314325</xdr:colOff>
      <xdr:row>194</xdr:row>
      <xdr:rowOff>0</xdr:rowOff>
    </xdr:to>
    <xdr:sp>
      <xdr:nvSpPr>
        <xdr:cNvPr id="419" name="Rectangle 419"/>
        <xdr:cNvSpPr>
          <a:spLocks/>
        </xdr:cNvSpPr>
      </xdr:nvSpPr>
      <xdr:spPr>
        <a:xfrm>
          <a:off x="7800975" y="3549967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193</xdr:row>
      <xdr:rowOff>0</xdr:rowOff>
    </xdr:from>
    <xdr:to>
      <xdr:col>8</xdr:col>
      <xdr:colOff>314325</xdr:colOff>
      <xdr:row>193</xdr:row>
      <xdr:rowOff>0</xdr:rowOff>
    </xdr:to>
    <xdr:sp>
      <xdr:nvSpPr>
        <xdr:cNvPr id="420" name="Rectangle 420"/>
        <xdr:cNvSpPr>
          <a:spLocks/>
        </xdr:cNvSpPr>
      </xdr:nvSpPr>
      <xdr:spPr>
        <a:xfrm>
          <a:off x="5991225" y="352996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19050</xdr:colOff>
      <xdr:row>193</xdr:row>
      <xdr:rowOff>0</xdr:rowOff>
    </xdr:from>
    <xdr:to>
      <xdr:col>10</xdr:col>
      <xdr:colOff>314325</xdr:colOff>
      <xdr:row>193</xdr:row>
      <xdr:rowOff>0</xdr:rowOff>
    </xdr:to>
    <xdr:sp>
      <xdr:nvSpPr>
        <xdr:cNvPr id="421" name="Rectangle 421"/>
        <xdr:cNvSpPr>
          <a:spLocks/>
        </xdr:cNvSpPr>
      </xdr:nvSpPr>
      <xdr:spPr>
        <a:xfrm>
          <a:off x="6886575" y="352996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38100</xdr:colOff>
      <xdr:row>193</xdr:row>
      <xdr:rowOff>0</xdr:rowOff>
    </xdr:from>
    <xdr:to>
      <xdr:col>12</xdr:col>
      <xdr:colOff>314325</xdr:colOff>
      <xdr:row>193</xdr:row>
      <xdr:rowOff>0</xdr:rowOff>
    </xdr:to>
    <xdr:sp>
      <xdr:nvSpPr>
        <xdr:cNvPr id="422" name="Rectangle 422"/>
        <xdr:cNvSpPr>
          <a:spLocks/>
        </xdr:cNvSpPr>
      </xdr:nvSpPr>
      <xdr:spPr>
        <a:xfrm>
          <a:off x="7820025" y="352996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167</xdr:row>
      <xdr:rowOff>0</xdr:rowOff>
    </xdr:from>
    <xdr:to>
      <xdr:col>8</xdr:col>
      <xdr:colOff>314325</xdr:colOff>
      <xdr:row>167</xdr:row>
      <xdr:rowOff>0</xdr:rowOff>
    </xdr:to>
    <xdr:sp>
      <xdr:nvSpPr>
        <xdr:cNvPr id="423" name="Rectangle 423"/>
        <xdr:cNvSpPr>
          <a:spLocks/>
        </xdr:cNvSpPr>
      </xdr:nvSpPr>
      <xdr:spPr>
        <a:xfrm>
          <a:off x="5991225" y="307657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19050</xdr:colOff>
      <xdr:row>167</xdr:row>
      <xdr:rowOff>0</xdr:rowOff>
    </xdr:from>
    <xdr:to>
      <xdr:col>10</xdr:col>
      <xdr:colOff>314325</xdr:colOff>
      <xdr:row>167</xdr:row>
      <xdr:rowOff>0</xdr:rowOff>
    </xdr:to>
    <xdr:sp>
      <xdr:nvSpPr>
        <xdr:cNvPr id="424" name="Rectangle 424"/>
        <xdr:cNvSpPr>
          <a:spLocks/>
        </xdr:cNvSpPr>
      </xdr:nvSpPr>
      <xdr:spPr>
        <a:xfrm>
          <a:off x="6886575" y="307657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38100</xdr:colOff>
      <xdr:row>167</xdr:row>
      <xdr:rowOff>0</xdr:rowOff>
    </xdr:from>
    <xdr:to>
      <xdr:col>12</xdr:col>
      <xdr:colOff>314325</xdr:colOff>
      <xdr:row>167</xdr:row>
      <xdr:rowOff>0</xdr:rowOff>
    </xdr:to>
    <xdr:sp>
      <xdr:nvSpPr>
        <xdr:cNvPr id="425" name="Rectangle 425"/>
        <xdr:cNvSpPr>
          <a:spLocks/>
        </xdr:cNvSpPr>
      </xdr:nvSpPr>
      <xdr:spPr>
        <a:xfrm>
          <a:off x="7820025" y="307657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170</xdr:row>
      <xdr:rowOff>0</xdr:rowOff>
    </xdr:from>
    <xdr:to>
      <xdr:col>10</xdr:col>
      <xdr:colOff>314325</xdr:colOff>
      <xdr:row>170</xdr:row>
      <xdr:rowOff>0</xdr:rowOff>
    </xdr:to>
    <xdr:sp>
      <xdr:nvSpPr>
        <xdr:cNvPr id="426" name="Rectangle 426"/>
        <xdr:cNvSpPr>
          <a:spLocks/>
        </xdr:cNvSpPr>
      </xdr:nvSpPr>
      <xdr:spPr>
        <a:xfrm>
          <a:off x="6905625" y="313658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170</xdr:row>
      <xdr:rowOff>0</xdr:rowOff>
    </xdr:from>
    <xdr:to>
      <xdr:col>12</xdr:col>
      <xdr:colOff>314325</xdr:colOff>
      <xdr:row>170</xdr:row>
      <xdr:rowOff>0</xdr:rowOff>
    </xdr:to>
    <xdr:sp>
      <xdr:nvSpPr>
        <xdr:cNvPr id="427" name="Rectangle 427"/>
        <xdr:cNvSpPr>
          <a:spLocks/>
        </xdr:cNvSpPr>
      </xdr:nvSpPr>
      <xdr:spPr>
        <a:xfrm>
          <a:off x="7800975" y="313658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167</xdr:row>
      <xdr:rowOff>0</xdr:rowOff>
    </xdr:from>
    <xdr:to>
      <xdr:col>10</xdr:col>
      <xdr:colOff>314325</xdr:colOff>
      <xdr:row>167</xdr:row>
      <xdr:rowOff>0</xdr:rowOff>
    </xdr:to>
    <xdr:sp>
      <xdr:nvSpPr>
        <xdr:cNvPr id="428" name="Rectangle 428"/>
        <xdr:cNvSpPr>
          <a:spLocks/>
        </xdr:cNvSpPr>
      </xdr:nvSpPr>
      <xdr:spPr>
        <a:xfrm>
          <a:off x="6905625" y="307657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167</xdr:row>
      <xdr:rowOff>0</xdr:rowOff>
    </xdr:from>
    <xdr:to>
      <xdr:col>12</xdr:col>
      <xdr:colOff>314325</xdr:colOff>
      <xdr:row>167</xdr:row>
      <xdr:rowOff>0</xdr:rowOff>
    </xdr:to>
    <xdr:sp>
      <xdr:nvSpPr>
        <xdr:cNvPr id="429" name="Rectangle 429"/>
        <xdr:cNvSpPr>
          <a:spLocks/>
        </xdr:cNvSpPr>
      </xdr:nvSpPr>
      <xdr:spPr>
        <a:xfrm>
          <a:off x="7800975" y="307657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200</xdr:row>
      <xdr:rowOff>0</xdr:rowOff>
    </xdr:from>
    <xdr:to>
      <xdr:col>10</xdr:col>
      <xdr:colOff>314325</xdr:colOff>
      <xdr:row>200</xdr:row>
      <xdr:rowOff>0</xdr:rowOff>
    </xdr:to>
    <xdr:sp>
      <xdr:nvSpPr>
        <xdr:cNvPr id="430" name="Rectangle 430"/>
        <xdr:cNvSpPr>
          <a:spLocks/>
        </xdr:cNvSpPr>
      </xdr:nvSpPr>
      <xdr:spPr>
        <a:xfrm>
          <a:off x="6905625" y="364331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200</xdr:row>
      <xdr:rowOff>0</xdr:rowOff>
    </xdr:from>
    <xdr:to>
      <xdr:col>12</xdr:col>
      <xdr:colOff>314325</xdr:colOff>
      <xdr:row>200</xdr:row>
      <xdr:rowOff>0</xdr:rowOff>
    </xdr:to>
    <xdr:sp>
      <xdr:nvSpPr>
        <xdr:cNvPr id="431" name="Rectangle 431"/>
        <xdr:cNvSpPr>
          <a:spLocks/>
        </xdr:cNvSpPr>
      </xdr:nvSpPr>
      <xdr:spPr>
        <a:xfrm>
          <a:off x="7800975" y="364331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123825</xdr:colOff>
      <xdr:row>201</xdr:row>
      <xdr:rowOff>0</xdr:rowOff>
    </xdr:from>
    <xdr:to>
      <xdr:col>8</xdr:col>
      <xdr:colOff>400050</xdr:colOff>
      <xdr:row>201</xdr:row>
      <xdr:rowOff>0</xdr:rowOff>
    </xdr:to>
    <xdr:sp>
      <xdr:nvSpPr>
        <xdr:cNvPr id="432" name="Rectangle 432"/>
        <xdr:cNvSpPr>
          <a:spLocks/>
        </xdr:cNvSpPr>
      </xdr:nvSpPr>
      <xdr:spPr>
        <a:xfrm>
          <a:off x="6076950" y="366331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85725</xdr:colOff>
      <xdr:row>201</xdr:row>
      <xdr:rowOff>0</xdr:rowOff>
    </xdr:from>
    <xdr:to>
      <xdr:col>10</xdr:col>
      <xdr:colOff>409575</xdr:colOff>
      <xdr:row>201</xdr:row>
      <xdr:rowOff>0</xdr:rowOff>
    </xdr:to>
    <xdr:sp>
      <xdr:nvSpPr>
        <xdr:cNvPr id="433" name="Rectangle 433"/>
        <xdr:cNvSpPr>
          <a:spLocks/>
        </xdr:cNvSpPr>
      </xdr:nvSpPr>
      <xdr:spPr>
        <a:xfrm>
          <a:off x="6953250" y="36633150"/>
          <a:ext cx="323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201</xdr:row>
      <xdr:rowOff>0</xdr:rowOff>
    </xdr:from>
    <xdr:to>
      <xdr:col>8</xdr:col>
      <xdr:colOff>381000</xdr:colOff>
      <xdr:row>201</xdr:row>
      <xdr:rowOff>0</xdr:rowOff>
    </xdr:to>
    <xdr:sp>
      <xdr:nvSpPr>
        <xdr:cNvPr id="434" name="Rectangle 434"/>
        <xdr:cNvSpPr>
          <a:spLocks/>
        </xdr:cNvSpPr>
      </xdr:nvSpPr>
      <xdr:spPr>
        <a:xfrm>
          <a:off x="5991225" y="36633150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</a:p>
      </xdr:txBody>
    </xdr:sp>
    <xdr:clientData/>
  </xdr:twoCellAnchor>
  <xdr:twoCellAnchor>
    <xdr:from>
      <xdr:col>8</xdr:col>
      <xdr:colOff>123825</xdr:colOff>
      <xdr:row>201</xdr:row>
      <xdr:rowOff>0</xdr:rowOff>
    </xdr:from>
    <xdr:to>
      <xdr:col>8</xdr:col>
      <xdr:colOff>400050</xdr:colOff>
      <xdr:row>201</xdr:row>
      <xdr:rowOff>0</xdr:rowOff>
    </xdr:to>
    <xdr:sp>
      <xdr:nvSpPr>
        <xdr:cNvPr id="435" name="Rectangle 435"/>
        <xdr:cNvSpPr>
          <a:spLocks/>
        </xdr:cNvSpPr>
      </xdr:nvSpPr>
      <xdr:spPr>
        <a:xfrm>
          <a:off x="6076950" y="366331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201</xdr:row>
      <xdr:rowOff>0</xdr:rowOff>
    </xdr:from>
    <xdr:to>
      <xdr:col>8</xdr:col>
      <xdr:colOff>381000</xdr:colOff>
      <xdr:row>201</xdr:row>
      <xdr:rowOff>0</xdr:rowOff>
    </xdr:to>
    <xdr:sp>
      <xdr:nvSpPr>
        <xdr:cNvPr id="436" name="Rectangle 436"/>
        <xdr:cNvSpPr>
          <a:spLocks/>
        </xdr:cNvSpPr>
      </xdr:nvSpPr>
      <xdr:spPr>
        <a:xfrm>
          <a:off x="5991225" y="36633150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</a:p>
      </xdr:txBody>
    </xdr:sp>
    <xdr:clientData/>
  </xdr:twoCellAnchor>
  <xdr:twoCellAnchor>
    <xdr:from>
      <xdr:col>8</xdr:col>
      <xdr:colOff>123825</xdr:colOff>
      <xdr:row>201</xdr:row>
      <xdr:rowOff>0</xdr:rowOff>
    </xdr:from>
    <xdr:to>
      <xdr:col>8</xdr:col>
      <xdr:colOff>400050</xdr:colOff>
      <xdr:row>201</xdr:row>
      <xdr:rowOff>0</xdr:rowOff>
    </xdr:to>
    <xdr:sp>
      <xdr:nvSpPr>
        <xdr:cNvPr id="437" name="Rectangle 437"/>
        <xdr:cNvSpPr>
          <a:spLocks/>
        </xdr:cNvSpPr>
      </xdr:nvSpPr>
      <xdr:spPr>
        <a:xfrm>
          <a:off x="6076950" y="366331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201</xdr:row>
      <xdr:rowOff>0</xdr:rowOff>
    </xdr:from>
    <xdr:to>
      <xdr:col>8</xdr:col>
      <xdr:colOff>381000</xdr:colOff>
      <xdr:row>201</xdr:row>
      <xdr:rowOff>0</xdr:rowOff>
    </xdr:to>
    <xdr:sp>
      <xdr:nvSpPr>
        <xdr:cNvPr id="438" name="Rectangle 438"/>
        <xdr:cNvSpPr>
          <a:spLocks/>
        </xdr:cNvSpPr>
      </xdr:nvSpPr>
      <xdr:spPr>
        <a:xfrm>
          <a:off x="5991225" y="36633150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</a:p>
      </xdr:txBody>
    </xdr:sp>
    <xdr:clientData/>
  </xdr:twoCellAnchor>
  <xdr:twoCellAnchor>
    <xdr:from>
      <xdr:col>8</xdr:col>
      <xdr:colOff>123825</xdr:colOff>
      <xdr:row>201</xdr:row>
      <xdr:rowOff>0</xdr:rowOff>
    </xdr:from>
    <xdr:to>
      <xdr:col>8</xdr:col>
      <xdr:colOff>400050</xdr:colOff>
      <xdr:row>201</xdr:row>
      <xdr:rowOff>0</xdr:rowOff>
    </xdr:to>
    <xdr:sp>
      <xdr:nvSpPr>
        <xdr:cNvPr id="439" name="Rectangle 439"/>
        <xdr:cNvSpPr>
          <a:spLocks/>
        </xdr:cNvSpPr>
      </xdr:nvSpPr>
      <xdr:spPr>
        <a:xfrm>
          <a:off x="6076950" y="366331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85725</xdr:colOff>
      <xdr:row>201</xdr:row>
      <xdr:rowOff>0</xdr:rowOff>
    </xdr:from>
    <xdr:to>
      <xdr:col>10</xdr:col>
      <xdr:colOff>409575</xdr:colOff>
      <xdr:row>201</xdr:row>
      <xdr:rowOff>0</xdr:rowOff>
    </xdr:to>
    <xdr:sp>
      <xdr:nvSpPr>
        <xdr:cNvPr id="440" name="Rectangle 440"/>
        <xdr:cNvSpPr>
          <a:spLocks/>
        </xdr:cNvSpPr>
      </xdr:nvSpPr>
      <xdr:spPr>
        <a:xfrm>
          <a:off x="6953250" y="36633150"/>
          <a:ext cx="323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201</xdr:row>
      <xdr:rowOff>0</xdr:rowOff>
    </xdr:from>
    <xdr:to>
      <xdr:col>8</xdr:col>
      <xdr:colOff>381000</xdr:colOff>
      <xdr:row>201</xdr:row>
      <xdr:rowOff>0</xdr:rowOff>
    </xdr:to>
    <xdr:sp>
      <xdr:nvSpPr>
        <xdr:cNvPr id="441" name="Rectangle 441"/>
        <xdr:cNvSpPr>
          <a:spLocks/>
        </xdr:cNvSpPr>
      </xdr:nvSpPr>
      <xdr:spPr>
        <a:xfrm>
          <a:off x="5991225" y="36633150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37</xdr:row>
      <xdr:rowOff>9525</xdr:rowOff>
    </xdr:from>
    <xdr:to>
      <xdr:col>4</xdr:col>
      <xdr:colOff>466725</xdr:colOff>
      <xdr:row>38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162425" y="7896225"/>
          <a:ext cx="295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0</xdr:colOff>
      <xdr:row>44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952875" y="8734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4</xdr:col>
      <xdr:colOff>19050</xdr:colOff>
      <xdr:row>44</xdr:row>
      <xdr:rowOff>0</xdr:rowOff>
    </xdr:from>
    <xdr:to>
      <xdr:col>4</xdr:col>
      <xdr:colOff>314325</xdr:colOff>
      <xdr:row>44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010025" y="87344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6</xdr:col>
      <xdr:colOff>38100</xdr:colOff>
      <xdr:row>44</xdr:row>
      <xdr:rowOff>0</xdr:rowOff>
    </xdr:from>
    <xdr:to>
      <xdr:col>6</xdr:col>
      <xdr:colOff>314325</xdr:colOff>
      <xdr:row>44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943475" y="87344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19050</xdr:colOff>
      <xdr:row>44</xdr:row>
      <xdr:rowOff>0</xdr:rowOff>
    </xdr:from>
    <xdr:to>
      <xdr:col>8</xdr:col>
      <xdr:colOff>314325</xdr:colOff>
      <xdr:row>44</xdr:row>
      <xdr:rowOff>0</xdr:rowOff>
    </xdr:to>
    <xdr:sp>
      <xdr:nvSpPr>
        <xdr:cNvPr id="5" name="Rectangle 5"/>
        <xdr:cNvSpPr>
          <a:spLocks/>
        </xdr:cNvSpPr>
      </xdr:nvSpPr>
      <xdr:spPr>
        <a:xfrm>
          <a:off x="5848350" y="87344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19050</xdr:colOff>
      <xdr:row>44</xdr:row>
      <xdr:rowOff>0</xdr:rowOff>
    </xdr:from>
    <xdr:to>
      <xdr:col>10</xdr:col>
      <xdr:colOff>314325</xdr:colOff>
      <xdr:row>44</xdr:row>
      <xdr:rowOff>0</xdr:rowOff>
    </xdr:to>
    <xdr:sp>
      <xdr:nvSpPr>
        <xdr:cNvPr id="6" name="Rectangle 6"/>
        <xdr:cNvSpPr>
          <a:spLocks/>
        </xdr:cNvSpPr>
      </xdr:nvSpPr>
      <xdr:spPr>
        <a:xfrm>
          <a:off x="6734175" y="87344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3</xdr:col>
      <xdr:colOff>0</xdr:colOff>
      <xdr:row>37</xdr:row>
      <xdr:rowOff>9525</xdr:rowOff>
    </xdr:from>
    <xdr:to>
      <xdr:col>3</xdr:col>
      <xdr:colOff>0</xdr:colOff>
      <xdr:row>37</xdr:row>
      <xdr:rowOff>200025</xdr:rowOff>
    </xdr:to>
    <xdr:sp>
      <xdr:nvSpPr>
        <xdr:cNvPr id="7" name="Rectangle 7"/>
        <xdr:cNvSpPr>
          <a:spLocks/>
        </xdr:cNvSpPr>
      </xdr:nvSpPr>
      <xdr:spPr>
        <a:xfrm>
          <a:off x="3952875" y="7896225"/>
          <a:ext cx="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3</xdr:col>
      <xdr:colOff>0</xdr:colOff>
      <xdr:row>37</xdr:row>
      <xdr:rowOff>9525</xdr:rowOff>
    </xdr:from>
    <xdr:to>
      <xdr:col>3</xdr:col>
      <xdr:colOff>0</xdr:colOff>
      <xdr:row>38</xdr:row>
      <xdr:rowOff>9525</xdr:rowOff>
    </xdr:to>
    <xdr:sp>
      <xdr:nvSpPr>
        <xdr:cNvPr id="8" name="Rectangle 8"/>
        <xdr:cNvSpPr>
          <a:spLocks/>
        </xdr:cNvSpPr>
      </xdr:nvSpPr>
      <xdr:spPr>
        <a:xfrm>
          <a:off x="3952875" y="7896225"/>
          <a:ext cx="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23</xdr:col>
      <xdr:colOff>504825</xdr:colOff>
      <xdr:row>41</xdr:row>
      <xdr:rowOff>171450</xdr:rowOff>
    </xdr:from>
    <xdr:to>
      <xdr:col>24</xdr:col>
      <xdr:colOff>133350</xdr:colOff>
      <xdr:row>43</xdr:row>
      <xdr:rowOff>28575</xdr:rowOff>
    </xdr:to>
    <xdr:sp>
      <xdr:nvSpPr>
        <xdr:cNvPr id="9" name="Rectangle 9"/>
        <xdr:cNvSpPr>
          <a:spLocks/>
        </xdr:cNvSpPr>
      </xdr:nvSpPr>
      <xdr:spPr>
        <a:xfrm flipH="1">
          <a:off x="14201775" y="8401050"/>
          <a:ext cx="38100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57150</xdr:colOff>
      <xdr:row>44</xdr:row>
      <xdr:rowOff>0</xdr:rowOff>
    </xdr:from>
    <xdr:to>
      <xdr:col>2</xdr:col>
      <xdr:colOff>133350</xdr:colOff>
      <xdr:row>44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342900" y="8734425"/>
          <a:ext cx="7620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152400</xdr:colOff>
      <xdr:row>37</xdr:row>
      <xdr:rowOff>9525</xdr:rowOff>
    </xdr:from>
    <xdr:to>
      <xdr:col>6</xdr:col>
      <xdr:colOff>447675</xdr:colOff>
      <xdr:row>37</xdr:row>
      <xdr:rowOff>209550</xdr:rowOff>
    </xdr:to>
    <xdr:sp>
      <xdr:nvSpPr>
        <xdr:cNvPr id="11" name="Rectangle 11"/>
        <xdr:cNvSpPr>
          <a:spLocks/>
        </xdr:cNvSpPr>
      </xdr:nvSpPr>
      <xdr:spPr>
        <a:xfrm>
          <a:off x="5057775" y="7896225"/>
          <a:ext cx="2952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161925</xdr:colOff>
      <xdr:row>37</xdr:row>
      <xdr:rowOff>9525</xdr:rowOff>
    </xdr:from>
    <xdr:to>
      <xdr:col>8</xdr:col>
      <xdr:colOff>466725</xdr:colOff>
      <xdr:row>37</xdr:row>
      <xdr:rowOff>209550</xdr:rowOff>
    </xdr:to>
    <xdr:sp>
      <xdr:nvSpPr>
        <xdr:cNvPr id="12" name="Rectangle 12"/>
        <xdr:cNvSpPr>
          <a:spLocks/>
        </xdr:cNvSpPr>
      </xdr:nvSpPr>
      <xdr:spPr>
        <a:xfrm>
          <a:off x="5991225" y="7896225"/>
          <a:ext cx="3048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152400</xdr:colOff>
      <xdr:row>37</xdr:row>
      <xdr:rowOff>9525</xdr:rowOff>
    </xdr:from>
    <xdr:to>
      <xdr:col>12</xdr:col>
      <xdr:colOff>447675</xdr:colOff>
      <xdr:row>37</xdr:row>
      <xdr:rowOff>209550</xdr:rowOff>
    </xdr:to>
    <xdr:sp>
      <xdr:nvSpPr>
        <xdr:cNvPr id="13" name="Rectangle 13"/>
        <xdr:cNvSpPr>
          <a:spLocks/>
        </xdr:cNvSpPr>
      </xdr:nvSpPr>
      <xdr:spPr>
        <a:xfrm>
          <a:off x="7458075" y="7896225"/>
          <a:ext cx="2952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0</xdr:colOff>
      <xdr:row>44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952875" y="8734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4</xdr:col>
      <xdr:colOff>19050</xdr:colOff>
      <xdr:row>44</xdr:row>
      <xdr:rowOff>0</xdr:rowOff>
    </xdr:from>
    <xdr:to>
      <xdr:col>4</xdr:col>
      <xdr:colOff>314325</xdr:colOff>
      <xdr:row>44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4010025" y="87344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6</xdr:col>
      <xdr:colOff>38100</xdr:colOff>
      <xdr:row>44</xdr:row>
      <xdr:rowOff>0</xdr:rowOff>
    </xdr:from>
    <xdr:to>
      <xdr:col>6</xdr:col>
      <xdr:colOff>314325</xdr:colOff>
      <xdr:row>44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4943475" y="87344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19050</xdr:colOff>
      <xdr:row>44</xdr:row>
      <xdr:rowOff>0</xdr:rowOff>
    </xdr:from>
    <xdr:to>
      <xdr:col>8</xdr:col>
      <xdr:colOff>314325</xdr:colOff>
      <xdr:row>44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5848350" y="87344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19050</xdr:colOff>
      <xdr:row>44</xdr:row>
      <xdr:rowOff>0</xdr:rowOff>
    </xdr:from>
    <xdr:to>
      <xdr:col>10</xdr:col>
      <xdr:colOff>314325</xdr:colOff>
      <xdr:row>44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6734175" y="87344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6"/>
  <sheetViews>
    <sheetView tabSelected="1" workbookViewId="0" topLeftCell="A1">
      <selection activeCell="A2" sqref="A2"/>
    </sheetView>
  </sheetViews>
  <sheetFormatPr defaultColWidth="8.88671875" defaultRowHeight="15.75"/>
  <cols>
    <col min="1" max="1" width="3.77734375" style="18" customWidth="1"/>
    <col min="2" max="2" width="0.3359375" style="10" hidden="1" customWidth="1"/>
    <col min="3" max="3" width="48.4453125" style="10" customWidth="1"/>
    <col min="4" max="4" width="0.44140625" style="10" customWidth="1"/>
    <col min="5" max="5" width="10.21484375" style="10" customWidth="1"/>
    <col min="6" max="6" width="0.44140625" style="10" customWidth="1"/>
    <col min="7" max="7" width="10.21484375" style="10" customWidth="1"/>
    <col min="8" max="8" width="0.44140625" style="10" customWidth="1"/>
    <col min="9" max="9" width="10.21484375" style="10" customWidth="1"/>
    <col min="10" max="10" width="0.44140625" style="10" customWidth="1"/>
    <col min="11" max="11" width="10.21484375" style="10" customWidth="1"/>
    <col min="12" max="12" width="0.44140625" style="10" customWidth="1"/>
    <col min="13" max="13" width="10.21484375" style="10" customWidth="1"/>
    <col min="14" max="14" width="0.9921875" style="10" customWidth="1"/>
    <col min="15" max="16384" width="8.77734375" style="10" customWidth="1"/>
  </cols>
  <sheetData>
    <row r="1" spans="1:14" ht="3.75" customHeight="1">
      <c r="A1" s="17"/>
      <c r="B1" s="4"/>
      <c r="C1" s="4"/>
      <c r="D1" s="4"/>
      <c r="E1" s="4"/>
      <c r="F1" s="4"/>
      <c r="G1" s="4"/>
      <c r="H1" s="4"/>
      <c r="I1" s="4"/>
      <c r="J1" s="4"/>
      <c r="K1" s="1"/>
      <c r="L1" s="4"/>
      <c r="N1" s="4"/>
    </row>
    <row r="2" spans="1:14" ht="17.25" customHeight="1">
      <c r="A2" s="17"/>
      <c r="B2" s="4"/>
      <c r="C2" s="5" t="s">
        <v>377</v>
      </c>
      <c r="D2" s="4"/>
      <c r="E2" s="4"/>
      <c r="F2" s="4"/>
      <c r="G2" s="4"/>
      <c r="H2" s="4"/>
      <c r="I2" s="4"/>
      <c r="J2" s="4"/>
      <c r="K2" s="1"/>
      <c r="L2" s="4"/>
      <c r="N2" s="4"/>
    </row>
    <row r="3" spans="1:14" ht="15" customHeight="1">
      <c r="A3" s="17"/>
      <c r="B3" s="4"/>
      <c r="C3" s="906" t="s">
        <v>378</v>
      </c>
      <c r="D3" s="4"/>
      <c r="E3" s="4"/>
      <c r="F3" s="4"/>
      <c r="G3" s="4"/>
      <c r="H3" s="4"/>
      <c r="I3" s="4"/>
      <c r="J3" s="4"/>
      <c r="K3" s="1"/>
      <c r="L3" s="4"/>
      <c r="N3" s="4"/>
    </row>
    <row r="4" spans="1:14" ht="15" customHeight="1">
      <c r="A4" s="17"/>
      <c r="B4" s="4"/>
      <c r="C4" s="906"/>
      <c r="D4" s="4"/>
      <c r="E4" s="4"/>
      <c r="F4" s="4"/>
      <c r="G4" s="4"/>
      <c r="H4" s="4"/>
      <c r="I4" s="4"/>
      <c r="J4" s="4"/>
      <c r="K4" s="1"/>
      <c r="L4" s="4"/>
      <c r="N4" s="4"/>
    </row>
    <row r="5" spans="1:14" ht="17.25" customHeight="1">
      <c r="A5" s="929" t="s">
        <v>62</v>
      </c>
      <c r="B5" s="929"/>
      <c r="C5" s="929"/>
      <c r="D5" s="929"/>
      <c r="E5" s="929"/>
      <c r="F5" s="929"/>
      <c r="G5" s="929"/>
      <c r="H5" s="929"/>
      <c r="I5" s="929"/>
      <c r="J5" s="929"/>
      <c r="K5" s="929"/>
      <c r="L5" s="929"/>
      <c r="M5" s="929"/>
      <c r="N5" s="351"/>
    </row>
    <row r="6" spans="1:14" ht="17.25" customHeight="1">
      <c r="A6" s="930" t="s">
        <v>339</v>
      </c>
      <c r="B6" s="930"/>
      <c r="C6" s="930"/>
      <c r="D6" s="930"/>
      <c r="E6" s="930"/>
      <c r="F6" s="930"/>
      <c r="G6" s="930"/>
      <c r="H6" s="930"/>
      <c r="I6" s="930"/>
      <c r="J6" s="930"/>
      <c r="K6" s="930"/>
      <c r="L6" s="930"/>
      <c r="M6" s="930"/>
      <c r="N6" s="352"/>
    </row>
    <row r="7" spans="1:14" ht="3.75" customHeight="1">
      <c r="A7" s="17"/>
      <c r="B7" s="4"/>
      <c r="C7" s="4"/>
      <c r="D7" s="4"/>
      <c r="E7" s="4"/>
      <c r="F7" s="4"/>
      <c r="G7" s="4"/>
      <c r="H7" s="4"/>
      <c r="I7" s="4"/>
      <c r="J7" s="4"/>
      <c r="K7" s="1"/>
      <c r="L7" s="4"/>
      <c r="N7" s="4"/>
    </row>
    <row r="8" spans="1:14" ht="17.25" customHeight="1">
      <c r="A8" s="17" t="s">
        <v>340</v>
      </c>
      <c r="B8" s="4"/>
      <c r="C8" s="4"/>
      <c r="D8" s="4"/>
      <c r="E8" s="4"/>
      <c r="F8" s="4"/>
      <c r="G8" s="4"/>
      <c r="H8" s="4"/>
      <c r="I8" s="4"/>
      <c r="J8" s="4"/>
      <c r="K8" s="1"/>
      <c r="L8" s="4"/>
      <c r="M8" s="18"/>
      <c r="N8" s="17"/>
    </row>
    <row r="9" spans="1:13" ht="15.75" customHeight="1" thickBot="1">
      <c r="A9" s="17"/>
      <c r="B9" s="4"/>
      <c r="C9" s="4"/>
      <c r="D9" s="4"/>
      <c r="E9" s="4"/>
      <c r="F9" s="4"/>
      <c r="G9" s="4"/>
      <c r="H9" s="4"/>
      <c r="I9" s="4"/>
      <c r="J9" s="4"/>
      <c r="M9" s="22" t="s">
        <v>81</v>
      </c>
    </row>
    <row r="10" spans="1:14" ht="15.75" customHeight="1">
      <c r="A10" s="55"/>
      <c r="B10" s="56"/>
      <c r="C10" s="56"/>
      <c r="D10" s="56"/>
      <c r="E10" s="63">
        <v>-1</v>
      </c>
      <c r="F10" s="56"/>
      <c r="G10" s="63">
        <v>-2</v>
      </c>
      <c r="H10" s="56"/>
      <c r="I10" s="104">
        <v>-3</v>
      </c>
      <c r="J10" s="57"/>
      <c r="K10" s="63">
        <v>-4</v>
      </c>
      <c r="L10" s="57"/>
      <c r="M10" s="104">
        <v>-5</v>
      </c>
      <c r="N10" s="95"/>
    </row>
    <row r="11" spans="1:14" ht="15.75" customHeight="1">
      <c r="A11" s="58"/>
      <c r="B11" s="14"/>
      <c r="C11" s="14"/>
      <c r="D11" s="14"/>
      <c r="E11" s="272"/>
      <c r="F11" s="14"/>
      <c r="G11" s="272"/>
      <c r="H11" s="14"/>
      <c r="I11" s="273" t="s">
        <v>342</v>
      </c>
      <c r="J11" s="95"/>
      <c r="K11" s="272"/>
      <c r="L11" s="95"/>
      <c r="M11" s="273"/>
      <c r="N11" s="95"/>
    </row>
    <row r="12" spans="1:14" ht="17.25" customHeight="1">
      <c r="A12" s="58"/>
      <c r="B12" s="14"/>
      <c r="C12" s="59"/>
      <c r="D12" s="59"/>
      <c r="E12" s="311" t="s">
        <v>324</v>
      </c>
      <c r="F12" s="59"/>
      <c r="G12" s="311" t="s">
        <v>175</v>
      </c>
      <c r="H12" s="59"/>
      <c r="I12" s="314" t="s">
        <v>232</v>
      </c>
      <c r="J12" s="312"/>
      <c r="K12" s="311" t="s">
        <v>2</v>
      </c>
      <c r="L12" s="313"/>
      <c r="M12" s="314" t="s">
        <v>2</v>
      </c>
      <c r="N12" s="315"/>
    </row>
    <row r="13" spans="1:14" ht="17.25" customHeight="1">
      <c r="A13" s="58"/>
      <c r="B13" s="14"/>
      <c r="C13" s="14"/>
      <c r="D13" s="14"/>
      <c r="E13" s="311" t="s">
        <v>5</v>
      </c>
      <c r="F13" s="14"/>
      <c r="G13" s="311" t="s">
        <v>5</v>
      </c>
      <c r="H13" s="14"/>
      <c r="I13" s="314" t="s">
        <v>5</v>
      </c>
      <c r="J13" s="315"/>
      <c r="K13" s="311" t="s">
        <v>5</v>
      </c>
      <c r="L13" s="313"/>
      <c r="M13" s="314" t="s">
        <v>5</v>
      </c>
      <c r="N13" s="315"/>
    </row>
    <row r="14" spans="1:14" ht="17.25" customHeight="1">
      <c r="A14" s="58"/>
      <c r="B14" s="14"/>
      <c r="C14" s="14"/>
      <c r="D14" s="14"/>
      <c r="E14" s="311" t="s">
        <v>322</v>
      </c>
      <c r="F14" s="14"/>
      <c r="G14" s="311" t="s">
        <v>341</v>
      </c>
      <c r="H14" s="14"/>
      <c r="I14" s="314" t="s">
        <v>155</v>
      </c>
      <c r="J14" s="315"/>
      <c r="K14" s="311" t="s">
        <v>341</v>
      </c>
      <c r="L14" s="313"/>
      <c r="M14" s="314" t="s">
        <v>155</v>
      </c>
      <c r="N14" s="315"/>
    </row>
    <row r="15" spans="1:14" ht="17.25" customHeight="1" thickBot="1">
      <c r="A15" s="61"/>
      <c r="B15" s="62"/>
      <c r="C15" s="97" t="s">
        <v>56</v>
      </c>
      <c r="D15" s="97"/>
      <c r="E15" s="317" t="s">
        <v>156</v>
      </c>
      <c r="F15" s="97"/>
      <c r="G15" s="317" t="s">
        <v>6</v>
      </c>
      <c r="H15" s="97"/>
      <c r="I15" s="319" t="s">
        <v>6</v>
      </c>
      <c r="J15" s="145"/>
      <c r="K15" s="317" t="s">
        <v>6</v>
      </c>
      <c r="L15" s="318"/>
      <c r="M15" s="319" t="s">
        <v>6</v>
      </c>
      <c r="N15" s="348"/>
    </row>
    <row r="16" spans="1:14" ht="15.75" customHeight="1">
      <c r="A16" s="55"/>
      <c r="B16" s="56"/>
      <c r="C16" s="98"/>
      <c r="D16" s="98"/>
      <c r="E16" s="398"/>
      <c r="F16" s="98"/>
      <c r="G16" s="398"/>
      <c r="H16" s="98"/>
      <c r="I16" s="345"/>
      <c r="J16" s="322"/>
      <c r="K16" s="321"/>
      <c r="L16" s="323"/>
      <c r="M16" s="321"/>
      <c r="N16" s="308"/>
    </row>
    <row r="17" spans="1:14" ht="17.25" customHeight="1">
      <c r="A17" s="68">
        <v>1</v>
      </c>
      <c r="B17" s="14"/>
      <c r="C17" s="99" t="s">
        <v>14</v>
      </c>
      <c r="D17" s="99"/>
      <c r="E17" s="417">
        <v>32116.07</v>
      </c>
      <c r="F17" s="99"/>
      <c r="G17" s="543">
        <v>13039.42</v>
      </c>
      <c r="H17" s="99"/>
      <c r="I17" s="566">
        <v>12572.26</v>
      </c>
      <c r="J17" s="294"/>
      <c r="K17" s="543">
        <v>45155.49</v>
      </c>
      <c r="L17" s="326"/>
      <c r="M17" s="566">
        <v>40926.56</v>
      </c>
      <c r="N17" s="328"/>
    </row>
    <row r="18" spans="1:14" ht="17.25" customHeight="1">
      <c r="A18" s="68">
        <f>+A17+1</f>
        <v>2</v>
      </c>
      <c r="B18" s="14"/>
      <c r="C18" s="100" t="s">
        <v>63</v>
      </c>
      <c r="D18" s="100"/>
      <c r="E18" s="399"/>
      <c r="F18" s="100"/>
      <c r="G18" s="543"/>
      <c r="H18" s="100"/>
      <c r="I18" s="566"/>
      <c r="J18" s="294"/>
      <c r="K18" s="543"/>
      <c r="L18" s="326"/>
      <c r="M18" s="327"/>
      <c r="N18" s="328"/>
    </row>
    <row r="19" spans="1:14" ht="17.25" customHeight="1">
      <c r="A19" s="68"/>
      <c r="B19" s="14"/>
      <c r="C19" s="100" t="s">
        <v>64</v>
      </c>
      <c r="D19" s="100"/>
      <c r="E19" s="135">
        <v>0</v>
      </c>
      <c r="F19" s="100"/>
      <c r="G19" s="325">
        <v>0</v>
      </c>
      <c r="H19" s="100"/>
      <c r="I19" s="331">
        <v>0</v>
      </c>
      <c r="J19" s="294"/>
      <c r="K19" s="330">
        <v>0</v>
      </c>
      <c r="L19" s="326"/>
      <c r="M19" s="569">
        <v>49.47</v>
      </c>
      <c r="N19" s="302"/>
    </row>
    <row r="20" spans="1:14" ht="17.25" customHeight="1">
      <c r="A20" s="69">
        <f>+A18+1</f>
        <v>3</v>
      </c>
      <c r="B20" s="14"/>
      <c r="C20" s="100" t="s">
        <v>17</v>
      </c>
      <c r="D20" s="100"/>
      <c r="E20" s="517">
        <v>1280.93</v>
      </c>
      <c r="F20" s="100"/>
      <c r="G20" s="546">
        <v>2671.44</v>
      </c>
      <c r="H20" s="100"/>
      <c r="I20" s="567">
        <v>1311.6</v>
      </c>
      <c r="J20" s="294"/>
      <c r="K20" s="561">
        <v>3952.37</v>
      </c>
      <c r="L20" s="326"/>
      <c r="M20" s="575">
        <v>2718.74</v>
      </c>
      <c r="N20" s="302"/>
    </row>
    <row r="21" spans="1:14" ht="17.25" customHeight="1">
      <c r="A21" s="69">
        <f>+A20+1</f>
        <v>4</v>
      </c>
      <c r="B21" s="14"/>
      <c r="C21" s="9" t="s">
        <v>65</v>
      </c>
      <c r="D21" s="9"/>
      <c r="E21" s="541">
        <f>SUM(E17:E20)</f>
        <v>33397</v>
      </c>
      <c r="F21" s="9"/>
      <c r="G21" s="541">
        <f>SUM(G17:G20)</f>
        <v>15710.86</v>
      </c>
      <c r="H21" s="9"/>
      <c r="I21" s="568">
        <f>SUM(I17:I20)</f>
        <v>13883.86</v>
      </c>
      <c r="J21" s="294"/>
      <c r="K21" s="541">
        <f>SUM(K17:K20)</f>
        <v>49107.86</v>
      </c>
      <c r="L21" s="326"/>
      <c r="M21" s="568">
        <f>SUM(M17:M20)</f>
        <v>43694.77</v>
      </c>
      <c r="N21" s="294"/>
    </row>
    <row r="22" spans="1:14" ht="17.25" customHeight="1">
      <c r="A22" s="68">
        <f>+A21+1</f>
        <v>5</v>
      </c>
      <c r="B22" s="14"/>
      <c r="C22" s="9" t="s">
        <v>57</v>
      </c>
      <c r="D22" s="9"/>
      <c r="E22" s="434"/>
      <c r="F22" s="9"/>
      <c r="G22" s="325"/>
      <c r="H22" s="9"/>
      <c r="I22" s="327"/>
      <c r="J22" s="294"/>
      <c r="K22" s="325"/>
      <c r="L22" s="326"/>
      <c r="M22" s="327"/>
      <c r="N22" s="294"/>
    </row>
    <row r="23" spans="1:14" ht="17.25" customHeight="1">
      <c r="A23" s="68"/>
      <c r="B23" s="14"/>
      <c r="C23" s="14" t="s">
        <v>338</v>
      </c>
      <c r="D23" s="14"/>
      <c r="E23" s="517">
        <v>-2759.03</v>
      </c>
      <c r="F23" s="14"/>
      <c r="G23" s="330">
        <v>1708.58</v>
      </c>
      <c r="H23" s="14"/>
      <c r="I23" s="331">
        <v>688.45</v>
      </c>
      <c r="J23" s="294"/>
      <c r="K23" s="546">
        <v>-1050.45</v>
      </c>
      <c r="L23" s="326"/>
      <c r="M23" s="569">
        <v>-460.45</v>
      </c>
      <c r="N23" s="302"/>
    </row>
    <row r="24" spans="1:14" ht="17.25" customHeight="1">
      <c r="A24" s="68"/>
      <c r="B24" s="14"/>
      <c r="C24" s="14" t="s">
        <v>19</v>
      </c>
      <c r="D24" s="14"/>
      <c r="E24" s="517">
        <v>14869.78</v>
      </c>
      <c r="F24" s="14"/>
      <c r="G24" s="330">
        <v>3762.13</v>
      </c>
      <c r="H24" s="14"/>
      <c r="I24" s="331">
        <v>4692.72</v>
      </c>
      <c r="J24" s="294"/>
      <c r="K24" s="546">
        <v>18631.91</v>
      </c>
      <c r="L24" s="326"/>
      <c r="M24" s="567">
        <v>16171.21</v>
      </c>
      <c r="N24" s="302"/>
    </row>
    <row r="25" spans="1:14" ht="17.25" customHeight="1">
      <c r="A25" s="68"/>
      <c r="B25" s="14"/>
      <c r="C25" s="14" t="s">
        <v>20</v>
      </c>
      <c r="D25" s="14"/>
      <c r="E25" s="517">
        <v>3088.7</v>
      </c>
      <c r="F25" s="14"/>
      <c r="G25" s="330">
        <v>1085.21</v>
      </c>
      <c r="H25" s="14"/>
      <c r="I25" s="331">
        <v>1681.65</v>
      </c>
      <c r="J25" s="294"/>
      <c r="K25" s="546">
        <v>4173.91</v>
      </c>
      <c r="L25" s="326"/>
      <c r="M25" s="567">
        <v>4217.54</v>
      </c>
      <c r="N25" s="302"/>
    </row>
    <row r="26" spans="1:14" ht="17.25" customHeight="1">
      <c r="A26" s="68"/>
      <c r="B26" s="14"/>
      <c r="C26" s="100" t="s">
        <v>15</v>
      </c>
      <c r="D26" s="100"/>
      <c r="E26" s="517">
        <v>4473.95</v>
      </c>
      <c r="F26" s="100"/>
      <c r="G26" s="330">
        <v>1470.95</v>
      </c>
      <c r="H26" s="100"/>
      <c r="I26" s="331">
        <v>1575.18</v>
      </c>
      <c r="J26" s="294"/>
      <c r="K26" s="546">
        <v>5944.9</v>
      </c>
      <c r="L26" s="326"/>
      <c r="M26" s="567">
        <v>5637.09</v>
      </c>
      <c r="N26" s="302"/>
    </row>
    <row r="27" spans="1:14" ht="17.25" customHeight="1">
      <c r="A27" s="68"/>
      <c r="B27" s="14"/>
      <c r="C27" s="100" t="s">
        <v>18</v>
      </c>
      <c r="D27" s="100"/>
      <c r="E27" s="517">
        <v>10935.92</v>
      </c>
      <c r="F27" s="100"/>
      <c r="G27" s="330">
        <v>4643.21</v>
      </c>
      <c r="H27" s="100"/>
      <c r="I27" s="331">
        <v>3946.45</v>
      </c>
      <c r="J27" s="294"/>
      <c r="K27" s="546">
        <v>15579.13</v>
      </c>
      <c r="L27" s="326"/>
      <c r="M27" s="567">
        <v>13425.14</v>
      </c>
      <c r="N27" s="302"/>
    </row>
    <row r="28" spans="1:14" ht="17.25" customHeight="1">
      <c r="A28" s="68"/>
      <c r="B28" s="14"/>
      <c r="C28" s="14" t="s">
        <v>30</v>
      </c>
      <c r="D28" s="14"/>
      <c r="E28" s="541">
        <f>SUM(E23:E27)</f>
        <v>30609.32</v>
      </c>
      <c r="F28" s="14"/>
      <c r="G28" s="541">
        <f>SUM(G23:G27)</f>
        <v>12670.08</v>
      </c>
      <c r="H28" s="14"/>
      <c r="I28" s="568">
        <f>SUM(I23:I27)</f>
        <v>12584.45</v>
      </c>
      <c r="J28" s="294"/>
      <c r="K28" s="541">
        <f>SUM(K23:K27)</f>
        <v>43279.399999999994</v>
      </c>
      <c r="L28" s="326"/>
      <c r="M28" s="568">
        <f>SUM(M23:M27)</f>
        <v>38990.53</v>
      </c>
      <c r="N28" s="294"/>
    </row>
    <row r="29" spans="1:14" ht="17.25" customHeight="1">
      <c r="A29" s="68">
        <f>+A22+1</f>
        <v>6</v>
      </c>
      <c r="B29" s="14"/>
      <c r="C29" s="100" t="s">
        <v>374</v>
      </c>
      <c r="D29" s="100"/>
      <c r="E29" s="518">
        <v>750.43</v>
      </c>
      <c r="F29" s="100"/>
      <c r="G29" s="330">
        <v>273.1</v>
      </c>
      <c r="H29" s="100"/>
      <c r="I29" s="331">
        <v>208.59</v>
      </c>
      <c r="J29" s="294"/>
      <c r="K29" s="546">
        <f>1023.53</f>
        <v>1023.53</v>
      </c>
      <c r="L29" s="326"/>
      <c r="M29" s="569">
        <v>752.7</v>
      </c>
      <c r="N29" s="302"/>
    </row>
    <row r="30" spans="1:14" ht="17.25" customHeight="1">
      <c r="A30" s="68">
        <f>+A29+1</f>
        <v>7</v>
      </c>
      <c r="B30" s="14"/>
      <c r="C30" s="100" t="s">
        <v>163</v>
      </c>
      <c r="D30" s="100"/>
      <c r="E30" s="548"/>
      <c r="F30" s="100"/>
      <c r="G30" s="563"/>
      <c r="H30" s="100"/>
      <c r="I30" s="570"/>
      <c r="J30" s="230"/>
      <c r="K30" s="563"/>
      <c r="L30" s="230"/>
      <c r="M30" s="334"/>
      <c r="N30" s="230"/>
    </row>
    <row r="31" spans="1:14" ht="17.25" customHeight="1">
      <c r="A31" s="68"/>
      <c r="B31" s="14"/>
      <c r="C31" s="100" t="s">
        <v>375</v>
      </c>
      <c r="D31" s="100"/>
      <c r="E31" s="518">
        <v>33.36</v>
      </c>
      <c r="F31" s="100"/>
      <c r="G31" s="274">
        <v>11.52</v>
      </c>
      <c r="H31" s="100"/>
      <c r="I31" s="331">
        <v>6.46</v>
      </c>
      <c r="J31" s="294"/>
      <c r="K31" s="562">
        <f>44.88</f>
        <v>44.88</v>
      </c>
      <c r="L31" s="326"/>
      <c r="M31" s="571">
        <v>23.86</v>
      </c>
      <c r="N31" s="302"/>
    </row>
    <row r="32" spans="1:14" ht="30" customHeight="1">
      <c r="A32" s="353">
        <f>+A30+1</f>
        <v>8</v>
      </c>
      <c r="B32" s="14"/>
      <c r="C32" s="395" t="s">
        <v>265</v>
      </c>
      <c r="D32" s="396"/>
      <c r="E32" s="869">
        <f>+E21-E28-E29-E31</f>
        <v>2003.8900000000006</v>
      </c>
      <c r="F32" s="396"/>
      <c r="G32" s="564">
        <f>+G21-G28-G29-G31</f>
        <v>2756.1600000000008</v>
      </c>
      <c r="H32" s="99"/>
      <c r="I32" s="604">
        <f>+I21-I28-I29-I31</f>
        <v>1084.36</v>
      </c>
      <c r="J32" s="355"/>
      <c r="K32" s="869">
        <f>+K21-K28-K29-K31</f>
        <v>4760.050000000007</v>
      </c>
      <c r="L32" s="357"/>
      <c r="M32" s="572">
        <f>+M21-M28-M29-M31</f>
        <v>3927.679999999998</v>
      </c>
      <c r="N32" s="328"/>
    </row>
    <row r="33" spans="1:14" ht="17.25" customHeight="1">
      <c r="A33" s="68">
        <f aca="true" t="shared" si="0" ref="A33:A38">+A32+1</f>
        <v>9</v>
      </c>
      <c r="B33" s="14"/>
      <c r="C33" s="100" t="s">
        <v>67</v>
      </c>
      <c r="D33" s="100"/>
      <c r="E33" s="517">
        <v>1605.52</v>
      </c>
      <c r="F33" s="100"/>
      <c r="G33" s="274">
        <v>544.35</v>
      </c>
      <c r="H33" s="100"/>
      <c r="I33" s="130">
        <v>254.02</v>
      </c>
      <c r="J33" s="294"/>
      <c r="K33" s="274">
        <f>2149.87</f>
        <v>2149.87</v>
      </c>
      <c r="L33" s="326"/>
      <c r="M33" s="575">
        <v>1769.66</v>
      </c>
      <c r="N33" s="302"/>
    </row>
    <row r="34" spans="1:14" ht="33" customHeight="1">
      <c r="A34" s="353">
        <f t="shared" si="0"/>
        <v>10</v>
      </c>
      <c r="B34" s="14"/>
      <c r="C34" s="547" t="s">
        <v>269</v>
      </c>
      <c r="D34" s="397"/>
      <c r="E34" s="519">
        <f>+E32-E33</f>
        <v>398.3700000000006</v>
      </c>
      <c r="F34" s="397"/>
      <c r="G34" s="565">
        <f>+G32-G33</f>
        <v>2211.810000000001</v>
      </c>
      <c r="H34" s="99"/>
      <c r="I34" s="573">
        <f>+I32-I33</f>
        <v>830.3399999999999</v>
      </c>
      <c r="J34" s="358"/>
      <c r="K34" s="564">
        <f>+K32-K33</f>
        <v>2610.1800000000067</v>
      </c>
      <c r="L34" s="359"/>
      <c r="M34" s="572">
        <f>+M32-M33</f>
        <v>2158.0199999999977</v>
      </c>
      <c r="N34" s="294"/>
    </row>
    <row r="35" spans="1:14" ht="17.25" customHeight="1">
      <c r="A35" s="68">
        <f t="shared" si="0"/>
        <v>11</v>
      </c>
      <c r="B35" s="14"/>
      <c r="C35" s="100" t="s">
        <v>173</v>
      </c>
      <c r="D35" s="99"/>
      <c r="E35" s="135">
        <v>0</v>
      </c>
      <c r="F35" s="99"/>
      <c r="G35" s="330">
        <v>0</v>
      </c>
      <c r="H35" s="99"/>
      <c r="I35" s="331">
        <v>278.37</v>
      </c>
      <c r="J35" s="294"/>
      <c r="K35" s="330">
        <v>0</v>
      </c>
      <c r="L35" s="326"/>
      <c r="M35" s="569">
        <v>278.37</v>
      </c>
      <c r="N35" s="294"/>
    </row>
    <row r="36" spans="1:14" ht="17.25" customHeight="1">
      <c r="A36" s="68">
        <f t="shared" si="0"/>
        <v>12</v>
      </c>
      <c r="B36" s="14"/>
      <c r="C36" s="100" t="s">
        <v>174</v>
      </c>
      <c r="D36" s="99"/>
      <c r="E36" s="423">
        <v>0</v>
      </c>
      <c r="F36" s="99"/>
      <c r="G36" s="274">
        <v>48.03</v>
      </c>
      <c r="H36" s="99"/>
      <c r="I36" s="331">
        <v>146.94</v>
      </c>
      <c r="J36" s="294"/>
      <c r="K36" s="274">
        <v>48.03</v>
      </c>
      <c r="L36" s="326"/>
      <c r="M36" s="571">
        <v>146.94</v>
      </c>
      <c r="N36" s="294"/>
    </row>
    <row r="37" spans="1:14" ht="15.75">
      <c r="A37" s="353">
        <f t="shared" si="0"/>
        <v>13</v>
      </c>
      <c r="B37" s="14"/>
      <c r="C37" s="9" t="s">
        <v>271</v>
      </c>
      <c r="D37" s="9"/>
      <c r="E37" s="544">
        <f>+E34-E35+E36</f>
        <v>398.3700000000006</v>
      </c>
      <c r="F37" s="9"/>
      <c r="G37" s="544">
        <f>+G34-G35+G36</f>
        <v>2259.840000000001</v>
      </c>
      <c r="H37" s="9"/>
      <c r="I37" s="414">
        <f>+I34-I35+I36</f>
        <v>698.9099999999999</v>
      </c>
      <c r="J37" s="294"/>
      <c r="K37" s="901">
        <f>+K34-K35+K36</f>
        <v>2658.210000000007</v>
      </c>
      <c r="L37" s="326"/>
      <c r="M37" s="566">
        <f>+M34-M35+M36</f>
        <v>2026.5899999999979</v>
      </c>
      <c r="N37" s="294"/>
    </row>
    <row r="38" spans="1:14" ht="17.25" customHeight="1">
      <c r="A38" s="68">
        <f t="shared" si="0"/>
        <v>14</v>
      </c>
      <c r="B38" s="14"/>
      <c r="C38" s="14" t="s">
        <v>7</v>
      </c>
      <c r="D38" s="14"/>
      <c r="E38" s="401"/>
      <c r="F38" s="14"/>
      <c r="G38" s="339"/>
      <c r="H38" s="14"/>
      <c r="I38" s="340"/>
      <c r="J38" s="326"/>
      <c r="K38" s="339"/>
      <c r="L38" s="326"/>
      <c r="M38" s="340"/>
      <c r="N38" s="326"/>
    </row>
    <row r="39" spans="1:14" ht="15.75">
      <c r="A39" s="68"/>
      <c r="B39" s="14"/>
      <c r="C39" s="14" t="s">
        <v>21</v>
      </c>
      <c r="D39" s="14"/>
      <c r="E39" s="549">
        <v>16.84</v>
      </c>
      <c r="F39" s="14"/>
      <c r="G39" s="274">
        <v>1.34</v>
      </c>
      <c r="H39" s="14"/>
      <c r="I39" s="130">
        <v>164.83</v>
      </c>
      <c r="J39" s="294"/>
      <c r="K39" s="562">
        <f>18.18</f>
        <v>18.18</v>
      </c>
      <c r="L39" s="326"/>
      <c r="M39" s="571">
        <v>237.12</v>
      </c>
      <c r="N39" s="302"/>
    </row>
    <row r="40" spans="1:14" ht="17.25" customHeight="1">
      <c r="A40" s="68">
        <f>+A38+1</f>
        <v>15</v>
      </c>
      <c r="B40" s="14"/>
      <c r="C40" s="99" t="s">
        <v>270</v>
      </c>
      <c r="D40" s="99"/>
      <c r="E40" s="520">
        <f>+E37-E39</f>
        <v>381.5300000000006</v>
      </c>
      <c r="F40" s="99"/>
      <c r="G40" s="544">
        <f>+G37-G39</f>
        <v>2258.500000000001</v>
      </c>
      <c r="H40" s="99"/>
      <c r="I40" s="574">
        <f>+I37-I39</f>
        <v>534.0799999999998</v>
      </c>
      <c r="J40" s="329"/>
      <c r="K40" s="543">
        <f>+K37-K39</f>
        <v>2640.030000000007</v>
      </c>
      <c r="L40" s="336"/>
      <c r="M40" s="566">
        <f>+M37-M39</f>
        <v>1789.469999999998</v>
      </c>
      <c r="N40" s="328"/>
    </row>
    <row r="41" spans="1:14" ht="17.25" customHeight="1">
      <c r="A41" s="68">
        <f>+A40+1</f>
        <v>16</v>
      </c>
      <c r="B41" s="14"/>
      <c r="C41" s="14" t="s">
        <v>8</v>
      </c>
      <c r="D41" s="14"/>
      <c r="E41" s="518"/>
      <c r="F41" s="14"/>
      <c r="G41" s="330"/>
      <c r="H41" s="14"/>
      <c r="I41" s="331"/>
      <c r="J41" s="294"/>
      <c r="K41" s="330"/>
      <c r="L41" s="326"/>
      <c r="M41" s="331"/>
      <c r="N41" s="302"/>
    </row>
    <row r="42" spans="1:14" ht="15.75">
      <c r="A42" s="68"/>
      <c r="B42" s="14"/>
      <c r="C42" s="14" t="s">
        <v>291</v>
      </c>
      <c r="D42" s="14"/>
      <c r="E42" s="582">
        <v>3</v>
      </c>
      <c r="F42" s="14"/>
      <c r="G42" s="330">
        <v>4.26</v>
      </c>
      <c r="H42" s="14"/>
      <c r="I42" s="331">
        <v>2.3</v>
      </c>
      <c r="J42" s="294"/>
      <c r="K42" s="545">
        <f>7.26</f>
        <v>7.26</v>
      </c>
      <c r="L42" s="326"/>
      <c r="M42" s="569">
        <v>5.3</v>
      </c>
      <c r="N42" s="302"/>
    </row>
    <row r="43" spans="1:14" ht="13.5" customHeight="1">
      <c r="A43" s="68"/>
      <c r="B43" s="14"/>
      <c r="C43" s="14" t="s">
        <v>309</v>
      </c>
      <c r="D43" s="14"/>
      <c r="E43" s="582">
        <v>16.25</v>
      </c>
      <c r="F43" s="14"/>
      <c r="G43" s="330">
        <v>13.75</v>
      </c>
      <c r="H43" s="14"/>
      <c r="I43" s="331">
        <v>-15.3</v>
      </c>
      <c r="J43" s="294"/>
      <c r="K43" s="545">
        <v>30</v>
      </c>
      <c r="L43" s="326"/>
      <c r="M43" s="569">
        <v>44.7</v>
      </c>
      <c r="N43" s="302"/>
    </row>
    <row r="44" spans="1:14" ht="17.25" customHeight="1">
      <c r="A44" s="68"/>
      <c r="B44" s="14"/>
      <c r="C44" s="14" t="s">
        <v>308</v>
      </c>
      <c r="D44" s="14"/>
      <c r="E44" s="518">
        <v>133</v>
      </c>
      <c r="F44" s="14"/>
      <c r="G44" s="330">
        <v>-24.79</v>
      </c>
      <c r="H44" s="14"/>
      <c r="I44" s="331">
        <v>253.43</v>
      </c>
      <c r="J44" s="294"/>
      <c r="K44" s="562">
        <v>108.21</v>
      </c>
      <c r="L44" s="326"/>
      <c r="M44" s="571">
        <v>164.43</v>
      </c>
      <c r="N44" s="302"/>
    </row>
    <row r="45" spans="1:14" ht="17.25" customHeight="1" thickBot="1">
      <c r="A45" s="68">
        <f>+A41+1</f>
        <v>17</v>
      </c>
      <c r="B45" s="14"/>
      <c r="C45" s="9" t="s">
        <v>305</v>
      </c>
      <c r="D45" s="9"/>
      <c r="E45" s="521">
        <f>+E40-E42-E44-E43</f>
        <v>229.2800000000006</v>
      </c>
      <c r="F45" s="9"/>
      <c r="G45" s="521">
        <f>+G40-G42-G44-G43</f>
        <v>2265.2800000000007</v>
      </c>
      <c r="H45" s="9"/>
      <c r="I45" s="415">
        <f>+I40-I42-I44-I43</f>
        <v>293.64999999999986</v>
      </c>
      <c r="J45" s="294"/>
      <c r="K45" s="872">
        <f>+K40-K42-K44-K43</f>
        <v>2494.5600000000068</v>
      </c>
      <c r="L45" s="326"/>
      <c r="M45" s="576">
        <f>+M40-M42-M44-M43</f>
        <v>1575.039999999998</v>
      </c>
      <c r="N45" s="328"/>
    </row>
    <row r="46" spans="1:14" ht="6" customHeight="1" thickTop="1">
      <c r="A46" s="68"/>
      <c r="B46" s="14"/>
      <c r="C46" s="9"/>
      <c r="D46" s="9"/>
      <c r="E46" s="400"/>
      <c r="F46" s="9"/>
      <c r="G46" s="522"/>
      <c r="H46" s="9"/>
      <c r="I46" s="327"/>
      <c r="J46" s="294"/>
      <c r="K46" s="325"/>
      <c r="L46" s="326"/>
      <c r="M46" s="327"/>
      <c r="N46" s="328"/>
    </row>
    <row r="47" spans="1:14" ht="17.25" customHeight="1">
      <c r="A47" s="69">
        <f>+A45+1</f>
        <v>18</v>
      </c>
      <c r="B47" s="14"/>
      <c r="C47" s="101" t="s">
        <v>24</v>
      </c>
      <c r="D47" s="101"/>
      <c r="E47" s="417">
        <v>1245.34</v>
      </c>
      <c r="F47" s="101"/>
      <c r="G47" s="417">
        <v>1245.34</v>
      </c>
      <c r="H47" s="101"/>
      <c r="I47" s="577">
        <v>1245.34</v>
      </c>
      <c r="J47" s="118"/>
      <c r="K47" s="578">
        <v>1245.34</v>
      </c>
      <c r="L47" s="117"/>
      <c r="M47" s="577">
        <v>1245.34</v>
      </c>
      <c r="N47" s="118"/>
    </row>
    <row r="48" spans="1:14" ht="17.25" customHeight="1">
      <c r="A48" s="68"/>
      <c r="B48" s="14"/>
      <c r="C48" s="19" t="s">
        <v>16</v>
      </c>
      <c r="D48" s="19"/>
      <c r="E48" s="404"/>
      <c r="F48" s="19"/>
      <c r="G48" s="404"/>
      <c r="H48" s="19"/>
      <c r="I48" s="136"/>
      <c r="J48" s="121"/>
      <c r="K48" s="135"/>
      <c r="L48" s="117"/>
      <c r="M48" s="136"/>
      <c r="N48" s="121"/>
    </row>
    <row r="49" spans="1:14" ht="17.25" customHeight="1">
      <c r="A49" s="69">
        <f>+A47+1</f>
        <v>19</v>
      </c>
      <c r="B49" s="14"/>
      <c r="C49" s="101" t="s">
        <v>1</v>
      </c>
      <c r="D49" s="101"/>
      <c r="E49" s="403"/>
      <c r="F49" s="101"/>
      <c r="G49" s="403"/>
      <c r="H49" s="101"/>
      <c r="I49" s="127"/>
      <c r="J49" s="117"/>
      <c r="K49" s="133">
        <f>19053.16</f>
        <v>19053.16</v>
      </c>
      <c r="L49" s="117"/>
      <c r="M49" s="579">
        <v>17274.59</v>
      </c>
      <c r="N49" s="118"/>
    </row>
    <row r="50" spans="1:14" ht="17.25" customHeight="1">
      <c r="A50" s="69">
        <f>+A49+1</f>
        <v>20</v>
      </c>
      <c r="B50" s="32"/>
      <c r="C50" s="70" t="s">
        <v>25</v>
      </c>
      <c r="D50" s="70"/>
      <c r="E50" s="77">
        <f>+E45/E47*10</f>
        <v>1.8411036343488574</v>
      </c>
      <c r="F50" s="70"/>
      <c r="G50" s="77">
        <f>+G45/G47*10</f>
        <v>18.19005251577883</v>
      </c>
      <c r="H50" s="70"/>
      <c r="I50" s="79">
        <f>+I45/I47*10</f>
        <v>2.357990588915476</v>
      </c>
      <c r="J50" s="70"/>
      <c r="K50" s="77">
        <f>+K45/K47*10</f>
        <v>20.031156150127735</v>
      </c>
      <c r="L50" s="70"/>
      <c r="M50" s="79">
        <f>+M45/M47*10</f>
        <v>12.64746976729245</v>
      </c>
      <c r="N50" s="70"/>
    </row>
    <row r="51" spans="1:14" ht="23.25" customHeight="1">
      <c r="A51" s="69"/>
      <c r="B51" s="32"/>
      <c r="C51" s="70" t="s">
        <v>26</v>
      </c>
      <c r="D51" s="70"/>
      <c r="E51" s="78" t="s">
        <v>334</v>
      </c>
      <c r="F51" s="70"/>
      <c r="G51" s="78" t="s">
        <v>176</v>
      </c>
      <c r="H51" s="70"/>
      <c r="I51" s="80" t="s">
        <v>176</v>
      </c>
      <c r="J51" s="32"/>
      <c r="K51" s="78" t="s">
        <v>343</v>
      </c>
      <c r="L51" s="71"/>
      <c r="M51" s="80" t="s">
        <v>193</v>
      </c>
      <c r="N51" s="32"/>
    </row>
    <row r="52" spans="1:14" ht="18" customHeight="1">
      <c r="A52" s="69">
        <f>+A50+1</f>
        <v>21</v>
      </c>
      <c r="B52" s="32"/>
      <c r="C52" s="70" t="s">
        <v>27</v>
      </c>
      <c r="D52" s="70"/>
      <c r="E52" s="77"/>
      <c r="F52" s="70"/>
      <c r="G52" s="77"/>
      <c r="H52" s="70"/>
      <c r="I52" s="80"/>
      <c r="J52" s="32"/>
      <c r="K52" s="78"/>
      <c r="L52" s="71"/>
      <c r="M52" s="80"/>
      <c r="N52" s="32"/>
    </row>
    <row r="53" spans="1:14" ht="20.25" customHeight="1">
      <c r="A53" s="69"/>
      <c r="B53" s="32"/>
      <c r="C53" s="70" t="s">
        <v>28</v>
      </c>
      <c r="D53" s="70"/>
      <c r="E53" s="180">
        <v>3272841</v>
      </c>
      <c r="F53" s="70"/>
      <c r="G53" s="180">
        <f>3272841</f>
        <v>3272841</v>
      </c>
      <c r="H53" s="70"/>
      <c r="I53" s="179">
        <v>3422706</v>
      </c>
      <c r="J53" s="72"/>
      <c r="K53" s="180">
        <v>3272841</v>
      </c>
      <c r="L53" s="72"/>
      <c r="M53" s="179">
        <v>3422706</v>
      </c>
      <c r="N53" s="72"/>
    </row>
    <row r="54" spans="1:14" ht="20.25" customHeight="1" thickBot="1">
      <c r="A54" s="74"/>
      <c r="B54" s="75"/>
      <c r="C54" s="102" t="s">
        <v>29</v>
      </c>
      <c r="D54" s="102"/>
      <c r="E54" s="86">
        <f>+E53/12453402</f>
        <v>0.2628069823811999</v>
      </c>
      <c r="F54" s="102"/>
      <c r="G54" s="86">
        <f>+G53/12453402</f>
        <v>0.2628069823811999</v>
      </c>
      <c r="H54" s="102"/>
      <c r="I54" s="82">
        <f>+I53/12453402</f>
        <v>0.2748410434353601</v>
      </c>
      <c r="J54" s="75"/>
      <c r="K54" s="86">
        <f>+K53/12453402</f>
        <v>0.2628069823811999</v>
      </c>
      <c r="L54" s="76"/>
      <c r="M54" s="82">
        <f>+M53/12453402</f>
        <v>0.2748410434353601</v>
      </c>
      <c r="N54" s="349"/>
    </row>
    <row r="55" spans="1:13" ht="6" customHeight="1">
      <c r="A55" s="23"/>
      <c r="C55" s="26"/>
      <c r="D55" s="26"/>
      <c r="E55" s="26"/>
      <c r="F55" s="26"/>
      <c r="G55" s="26"/>
      <c r="H55" s="26"/>
      <c r="I55" s="36"/>
      <c r="K55" s="37"/>
      <c r="L55" s="11"/>
      <c r="M55" s="36"/>
    </row>
    <row r="56" spans="1:13" ht="15.75" customHeight="1" hidden="1">
      <c r="A56" s="280" t="s">
        <v>152</v>
      </c>
      <c r="C56" s="26"/>
      <c r="D56" s="26"/>
      <c r="E56" s="26"/>
      <c r="F56" s="26"/>
      <c r="G56" s="26"/>
      <c r="H56" s="26"/>
      <c r="I56" s="36"/>
      <c r="K56" s="37"/>
      <c r="L56" s="11"/>
      <c r="M56" s="36"/>
    </row>
    <row r="57" spans="1:14" ht="15.75" customHeight="1" hidden="1">
      <c r="A57" s="23"/>
      <c r="C57" s="281" t="s">
        <v>228</v>
      </c>
      <c r="D57" s="26"/>
      <c r="E57" s="26"/>
      <c r="F57" s="26"/>
      <c r="G57" s="26"/>
      <c r="H57" s="26"/>
      <c r="I57" s="871"/>
      <c r="K57" s="37"/>
      <c r="M57" s="36"/>
      <c r="N57" s="11"/>
    </row>
    <row r="58" spans="1:14" ht="15.75" customHeight="1" hidden="1">
      <c r="A58" s="23"/>
      <c r="C58" s="281" t="s">
        <v>179</v>
      </c>
      <c r="D58" s="26"/>
      <c r="E58" s="26"/>
      <c r="F58" s="26"/>
      <c r="G58" s="26"/>
      <c r="H58" s="26"/>
      <c r="I58" s="871"/>
      <c r="K58" s="37"/>
      <c r="M58" s="36"/>
      <c r="N58" s="11"/>
    </row>
    <row r="59" spans="1:14" ht="15.75" customHeight="1" hidden="1">
      <c r="A59" s="23"/>
      <c r="C59" s="281" t="s">
        <v>197</v>
      </c>
      <c r="D59" s="26"/>
      <c r="E59" s="26"/>
      <c r="F59" s="26"/>
      <c r="G59" s="26"/>
      <c r="H59" s="26"/>
      <c r="I59" s="871"/>
      <c r="K59" s="37"/>
      <c r="M59" s="36"/>
      <c r="N59" s="11"/>
    </row>
    <row r="60" spans="1:14" ht="15.75" customHeight="1" hidden="1">
      <c r="A60" s="23"/>
      <c r="C60" s="281" t="s">
        <v>229</v>
      </c>
      <c r="D60" s="26"/>
      <c r="E60" s="26"/>
      <c r="F60" s="26"/>
      <c r="G60" s="26"/>
      <c r="H60" s="26"/>
      <c r="I60" s="871"/>
      <c r="K60" s="37"/>
      <c r="M60" s="36"/>
      <c r="N60" s="11"/>
    </row>
    <row r="61" spans="1:14" ht="15.75">
      <c r="A61" s="23"/>
      <c r="I61" s="6"/>
      <c r="K61" s="40"/>
      <c r="M61" s="108" t="s">
        <v>38</v>
      </c>
      <c r="N61" s="11"/>
    </row>
    <row r="62" spans="1:14" ht="3.75" customHeight="1">
      <c r="A62" s="23"/>
      <c r="I62" s="6"/>
      <c r="K62" s="40"/>
      <c r="M62" s="41"/>
      <c r="N62" s="11"/>
    </row>
    <row r="63" spans="1:14" ht="15" customHeight="1">
      <c r="A63" s="138" t="s">
        <v>39</v>
      </c>
      <c r="B63" s="138"/>
      <c r="C63" s="138"/>
      <c r="D63" s="138"/>
      <c r="E63" s="138"/>
      <c r="F63" s="138"/>
      <c r="G63" s="138"/>
      <c r="H63" s="138"/>
      <c r="I63" s="525"/>
      <c r="J63" s="138"/>
      <c r="K63" s="138"/>
      <c r="L63" s="138"/>
      <c r="M63" s="138"/>
      <c r="N63" s="138"/>
    </row>
    <row r="64" spans="1:14" ht="15" customHeight="1">
      <c r="A64" s="138" t="s">
        <v>40</v>
      </c>
      <c r="B64" s="138"/>
      <c r="C64" s="138"/>
      <c r="D64" s="138"/>
      <c r="E64" s="138"/>
      <c r="F64" s="138"/>
      <c r="G64" s="138"/>
      <c r="H64" s="138"/>
      <c r="I64" s="525"/>
      <c r="J64" s="138"/>
      <c r="K64" s="138"/>
      <c r="L64" s="138"/>
      <c r="M64" s="147" t="s">
        <v>83</v>
      </c>
      <c r="N64" s="138"/>
    </row>
    <row r="65" spans="1:14" ht="15" customHeight="1" thickBot="1">
      <c r="A65" s="138"/>
      <c r="B65" s="138"/>
      <c r="C65" s="138"/>
      <c r="D65" s="138"/>
      <c r="E65" s="138"/>
      <c r="F65" s="138"/>
      <c r="G65" s="138"/>
      <c r="H65" s="138"/>
      <c r="I65" s="525"/>
      <c r="J65" s="138"/>
      <c r="K65" s="138"/>
      <c r="L65" s="138"/>
      <c r="M65" s="138"/>
      <c r="N65" s="138"/>
    </row>
    <row r="66" spans="1:14" ht="15" customHeight="1">
      <c r="A66" s="139"/>
      <c r="B66" s="139"/>
      <c r="C66" s="139"/>
      <c r="D66" s="139"/>
      <c r="E66" s="63">
        <v>-1</v>
      </c>
      <c r="F66" s="139"/>
      <c r="G66" s="63">
        <v>-2</v>
      </c>
      <c r="H66" s="139"/>
      <c r="I66" s="104">
        <v>-3</v>
      </c>
      <c r="J66" s="57"/>
      <c r="K66" s="63">
        <v>-4</v>
      </c>
      <c r="L66" s="57"/>
      <c r="M66" s="104">
        <v>-5</v>
      </c>
      <c r="N66" s="95"/>
    </row>
    <row r="67" spans="1:14" ht="15" customHeight="1">
      <c r="A67" s="139"/>
      <c r="B67" s="139"/>
      <c r="C67" s="139"/>
      <c r="D67" s="139"/>
      <c r="E67" s="272"/>
      <c r="F67" s="139"/>
      <c r="G67" s="272"/>
      <c r="H67" s="139"/>
      <c r="I67" s="273" t="str">
        <f>+I11</f>
        <v>Previous</v>
      </c>
      <c r="J67" s="95"/>
      <c r="K67" s="272"/>
      <c r="L67" s="95"/>
      <c r="M67" s="273"/>
      <c r="N67" s="95"/>
    </row>
    <row r="68" spans="1:14" ht="15" customHeight="1">
      <c r="A68" s="139"/>
      <c r="B68" s="139"/>
      <c r="C68" s="139"/>
      <c r="D68" s="139"/>
      <c r="E68" s="311" t="str">
        <f>+E12</f>
        <v>Nine Months</v>
      </c>
      <c r="F68" s="59"/>
      <c r="G68" s="311" t="str">
        <f>+G12</f>
        <v>Quarter </v>
      </c>
      <c r="H68" s="59"/>
      <c r="I68" s="314" t="str">
        <f>+I12</f>
        <v>Quarter</v>
      </c>
      <c r="J68" s="312"/>
      <c r="K68" s="311" t="str">
        <f>+K12</f>
        <v>Year</v>
      </c>
      <c r="L68" s="60"/>
      <c r="M68" s="314" t="str">
        <f>+M12</f>
        <v>Year</v>
      </c>
      <c r="N68" s="315"/>
    </row>
    <row r="69" spans="1:14" ht="15" customHeight="1">
      <c r="A69" s="139"/>
      <c r="B69" s="139"/>
      <c r="C69" s="139"/>
      <c r="D69" s="139"/>
      <c r="E69" s="311" t="str">
        <f>+E13</f>
        <v>ended</v>
      </c>
      <c r="F69" s="14"/>
      <c r="G69" s="311" t="str">
        <f>+G13</f>
        <v>ended</v>
      </c>
      <c r="H69" s="14"/>
      <c r="I69" s="314" t="str">
        <f>+I13</f>
        <v>ended</v>
      </c>
      <c r="J69" s="315"/>
      <c r="K69" s="311" t="str">
        <f>+K13</f>
        <v>ended</v>
      </c>
      <c r="L69" s="60"/>
      <c r="M69" s="314" t="str">
        <f>+M13</f>
        <v>ended</v>
      </c>
      <c r="N69" s="315"/>
    </row>
    <row r="70" spans="1:14" ht="15" customHeight="1">
      <c r="A70" s="139"/>
      <c r="B70" s="139"/>
      <c r="C70" s="139"/>
      <c r="D70" s="139"/>
      <c r="E70" s="311" t="str">
        <f>+E14</f>
        <v>31.12.2004</v>
      </c>
      <c r="F70" s="14"/>
      <c r="G70" s="311" t="str">
        <f>+G14</f>
        <v>31.03.2005</v>
      </c>
      <c r="H70" s="14"/>
      <c r="I70" s="314" t="str">
        <f>+I14</f>
        <v>31.03.2004</v>
      </c>
      <c r="J70" s="315"/>
      <c r="K70" s="311" t="str">
        <f>+K14</f>
        <v>31.03.2005</v>
      </c>
      <c r="L70" s="60"/>
      <c r="M70" s="314" t="str">
        <f>+M14</f>
        <v>31.03.2004</v>
      </c>
      <c r="N70" s="21"/>
    </row>
    <row r="71" spans="1:14" ht="15" customHeight="1" thickBot="1">
      <c r="A71" s="139"/>
      <c r="B71" s="139"/>
      <c r="C71" s="139"/>
      <c r="D71" s="139"/>
      <c r="E71" s="317" t="str">
        <f>+E15</f>
        <v>(Unaudited)</v>
      </c>
      <c r="F71" s="97"/>
      <c r="G71" s="317" t="str">
        <f>+G15</f>
        <v>(Audited)</v>
      </c>
      <c r="H71" s="97"/>
      <c r="I71" s="319" t="str">
        <f>+I15</f>
        <v>(Audited)</v>
      </c>
      <c r="J71" s="145"/>
      <c r="K71" s="317" t="str">
        <f>+K15</f>
        <v>(Audited)</v>
      </c>
      <c r="L71" s="75"/>
      <c r="M71" s="319" t="str">
        <f>+M15</f>
        <v>(Audited)</v>
      </c>
      <c r="N71" s="350"/>
    </row>
    <row r="72" spans="1:14" ht="15" customHeight="1">
      <c r="A72" s="139"/>
      <c r="B72" s="139"/>
      <c r="C72" s="139"/>
      <c r="D72" s="139"/>
      <c r="E72" s="418"/>
      <c r="F72" s="139"/>
      <c r="G72" s="418"/>
      <c r="H72" s="139"/>
      <c r="I72" s="427"/>
      <c r="J72" s="140"/>
      <c r="K72" s="418"/>
      <c r="L72" s="140"/>
      <c r="M72" s="427"/>
      <c r="N72" s="140"/>
    </row>
    <row r="73" spans="1:14" ht="15" customHeight="1">
      <c r="A73" s="139">
        <v>1</v>
      </c>
      <c r="B73" s="139"/>
      <c r="C73" s="111" t="s">
        <v>272</v>
      </c>
      <c r="D73" s="111"/>
      <c r="E73" s="419"/>
      <c r="F73" s="111"/>
      <c r="G73" s="419"/>
      <c r="H73" s="111"/>
      <c r="I73" s="435"/>
      <c r="J73" s="140"/>
      <c r="K73" s="422"/>
      <c r="L73" s="140"/>
      <c r="M73" s="428"/>
      <c r="N73" s="140"/>
    </row>
    <row r="74" spans="1:14" ht="15" customHeight="1">
      <c r="A74" s="139"/>
      <c r="B74" s="139"/>
      <c r="C74" s="141" t="s">
        <v>32</v>
      </c>
      <c r="D74" s="141"/>
      <c r="E74" s="420"/>
      <c r="F74" s="141"/>
      <c r="G74" s="420"/>
      <c r="H74" s="141"/>
      <c r="I74" s="436"/>
      <c r="J74" s="140"/>
      <c r="K74" s="422"/>
      <c r="L74" s="140"/>
      <c r="M74" s="428"/>
      <c r="N74" s="140"/>
    </row>
    <row r="75" spans="1:14" ht="15" customHeight="1">
      <c r="A75" s="139"/>
      <c r="B75" s="139"/>
      <c r="C75" s="139"/>
      <c r="D75" s="139"/>
      <c r="E75" s="422"/>
      <c r="F75" s="139"/>
      <c r="G75" s="422"/>
      <c r="H75" s="139"/>
      <c r="I75" s="428"/>
      <c r="J75" s="140"/>
      <c r="K75" s="422"/>
      <c r="L75" s="140"/>
      <c r="M75" s="428"/>
      <c r="N75" s="140"/>
    </row>
    <row r="76" spans="1:14" ht="15" customHeight="1">
      <c r="A76" s="139"/>
      <c r="B76" s="139"/>
      <c r="C76" s="139" t="s">
        <v>168</v>
      </c>
      <c r="D76" s="139"/>
      <c r="E76" s="580">
        <v>22078.08</v>
      </c>
      <c r="F76" s="139"/>
      <c r="G76" s="580">
        <v>9214.75</v>
      </c>
      <c r="H76" s="139"/>
      <c r="I76" s="584">
        <v>9174.9</v>
      </c>
      <c r="J76" s="115"/>
      <c r="K76" s="580">
        <f>31292.83</f>
        <v>31292.83</v>
      </c>
      <c r="L76" s="115"/>
      <c r="M76" s="584">
        <v>28880.46</v>
      </c>
      <c r="N76" s="115"/>
    </row>
    <row r="77" spans="1:14" ht="15" customHeight="1">
      <c r="A77" s="139"/>
      <c r="B77" s="139"/>
      <c r="C77" s="139" t="s">
        <v>33</v>
      </c>
      <c r="D77" s="139"/>
      <c r="E77" s="580">
        <v>4225.48</v>
      </c>
      <c r="F77" s="139"/>
      <c r="G77" s="580">
        <v>1479.8</v>
      </c>
      <c r="H77" s="139"/>
      <c r="I77" s="584">
        <v>1269.35</v>
      </c>
      <c r="J77" s="115"/>
      <c r="K77" s="580">
        <f>5705.28</f>
        <v>5705.28</v>
      </c>
      <c r="L77" s="115"/>
      <c r="M77" s="584">
        <v>4539.22</v>
      </c>
      <c r="N77" s="115"/>
    </row>
    <row r="78" spans="1:14" ht="15" customHeight="1">
      <c r="A78" s="139"/>
      <c r="B78" s="139"/>
      <c r="C78" s="139" t="s">
        <v>376</v>
      </c>
      <c r="D78" s="139"/>
      <c r="E78" s="580">
        <v>3654.63</v>
      </c>
      <c r="F78" s="139"/>
      <c r="G78" s="580">
        <v>1442.55</v>
      </c>
      <c r="H78" s="139"/>
      <c r="I78" s="584">
        <v>1601.34</v>
      </c>
      <c r="J78" s="115"/>
      <c r="K78" s="135">
        <f>5097.18</f>
        <v>5097.18</v>
      </c>
      <c r="L78" s="115"/>
      <c r="M78" s="584">
        <v>5227.47</v>
      </c>
      <c r="N78" s="115"/>
    </row>
    <row r="79" spans="1:14" ht="15.75">
      <c r="A79" s="139"/>
      <c r="B79" s="139"/>
      <c r="C79" s="139" t="s">
        <v>166</v>
      </c>
      <c r="D79" s="139"/>
      <c r="E79" s="580">
        <v>2881.45</v>
      </c>
      <c r="F79" s="139"/>
      <c r="G79" s="580">
        <v>1381.25</v>
      </c>
      <c r="H79" s="139"/>
      <c r="I79" s="587">
        <v>944.51</v>
      </c>
      <c r="J79" s="115"/>
      <c r="K79" s="580">
        <f>4262.7</f>
        <v>4262.7</v>
      </c>
      <c r="L79" s="115"/>
      <c r="M79" s="584">
        <v>3297.95</v>
      </c>
      <c r="N79" s="115"/>
    </row>
    <row r="80" spans="1:14" ht="15.75">
      <c r="A80" s="139"/>
      <c r="B80" s="139"/>
      <c r="C80" s="139" t="s">
        <v>198</v>
      </c>
      <c r="D80" s="139"/>
      <c r="E80" s="582">
        <v>396.09</v>
      </c>
      <c r="F80" s="139"/>
      <c r="G80" s="582">
        <v>201.4</v>
      </c>
      <c r="H80" s="139"/>
      <c r="I80" s="587">
        <v>137.45</v>
      </c>
      <c r="J80" s="115"/>
      <c r="K80" s="582">
        <f>597.49</f>
        <v>597.49</v>
      </c>
      <c r="L80" s="115"/>
      <c r="M80" s="587">
        <f>499.54</f>
        <v>499.54</v>
      </c>
      <c r="N80" s="115"/>
    </row>
    <row r="81" spans="1:14" ht="15" customHeight="1">
      <c r="A81" s="139"/>
      <c r="B81" s="139"/>
      <c r="C81" s="139" t="s">
        <v>203</v>
      </c>
      <c r="D81" s="139"/>
      <c r="E81" s="583">
        <v>266.66</v>
      </c>
      <c r="F81" s="139"/>
      <c r="G81" s="900">
        <v>2094.59</v>
      </c>
      <c r="H81" s="139"/>
      <c r="I81" s="588">
        <v>780.74</v>
      </c>
      <c r="J81" s="115"/>
      <c r="K81" s="900">
        <v>2361.25</v>
      </c>
      <c r="L81" s="115"/>
      <c r="M81" s="585">
        <f>1338.34</f>
        <v>1338.34</v>
      </c>
      <c r="N81" s="115"/>
    </row>
    <row r="82" spans="1:14" ht="15" customHeight="1">
      <c r="A82" s="139"/>
      <c r="B82" s="139"/>
      <c r="C82" s="111" t="s">
        <v>41</v>
      </c>
      <c r="D82" s="111"/>
      <c r="E82" s="578">
        <f>SUM(E76:E81)</f>
        <v>33502.39</v>
      </c>
      <c r="F82" s="111"/>
      <c r="G82" s="578">
        <f>SUM(G76:G81)</f>
        <v>15814.339999999998</v>
      </c>
      <c r="H82" s="111"/>
      <c r="I82" s="577">
        <f>SUM(I76:I81)</f>
        <v>13908.29</v>
      </c>
      <c r="J82" s="115"/>
      <c r="K82" s="578">
        <f>SUM(K76:K81)</f>
        <v>49316.729999999996</v>
      </c>
      <c r="L82" s="128"/>
      <c r="M82" s="577">
        <f>SUM(M76:M81)</f>
        <v>43782.979999999996</v>
      </c>
      <c r="N82" s="115"/>
    </row>
    <row r="83" spans="1:14" ht="18" customHeight="1">
      <c r="A83" s="139"/>
      <c r="B83" s="139"/>
      <c r="C83" s="111" t="s">
        <v>34</v>
      </c>
      <c r="D83" s="111"/>
      <c r="E83" s="583">
        <v>105.39</v>
      </c>
      <c r="F83" s="111"/>
      <c r="G83" s="582">
        <v>103.48</v>
      </c>
      <c r="H83" s="111"/>
      <c r="I83" s="588">
        <v>24.43</v>
      </c>
      <c r="J83" s="115"/>
      <c r="K83" s="582">
        <v>208.87</v>
      </c>
      <c r="L83" s="115"/>
      <c r="M83" s="587">
        <v>88.21</v>
      </c>
      <c r="N83" s="115"/>
    </row>
    <row r="84" spans="1:14" ht="15" customHeight="1" thickBot="1">
      <c r="A84" s="139"/>
      <c r="B84" s="139"/>
      <c r="C84" s="139"/>
      <c r="D84" s="139"/>
      <c r="E84" s="581">
        <f>+E82-E83</f>
        <v>33397</v>
      </c>
      <c r="F84" s="139"/>
      <c r="G84" s="581">
        <f>+G82-G83</f>
        <v>15710.859999999999</v>
      </c>
      <c r="H84" s="139"/>
      <c r="I84" s="586">
        <f>+I82-I83</f>
        <v>13883.86</v>
      </c>
      <c r="J84" s="115"/>
      <c r="K84" s="581">
        <f>+K82-K83</f>
        <v>49107.85999999999</v>
      </c>
      <c r="L84" s="128"/>
      <c r="M84" s="586">
        <f>+M82-M83</f>
        <v>43694.77</v>
      </c>
      <c r="N84" s="115"/>
    </row>
    <row r="85" spans="1:14" ht="15" customHeight="1" thickTop="1">
      <c r="A85" s="139"/>
      <c r="B85" s="139"/>
      <c r="C85" s="139"/>
      <c r="D85" s="139"/>
      <c r="E85" s="135"/>
      <c r="F85" s="139"/>
      <c r="G85" s="135"/>
      <c r="H85" s="139"/>
      <c r="I85" s="136"/>
      <c r="J85" s="115"/>
      <c r="K85" s="135"/>
      <c r="L85" s="115"/>
      <c r="M85" s="136"/>
      <c r="N85" s="115"/>
    </row>
    <row r="86" spans="1:14" ht="15" customHeight="1">
      <c r="A86" s="139">
        <v>2</v>
      </c>
      <c r="B86" s="139"/>
      <c r="C86" s="142" t="s">
        <v>274</v>
      </c>
      <c r="D86" s="142"/>
      <c r="E86" s="135"/>
      <c r="F86" s="142"/>
      <c r="G86" s="135"/>
      <c r="H86" s="142"/>
      <c r="I86" s="136"/>
      <c r="J86" s="115"/>
      <c r="K86" s="135"/>
      <c r="L86" s="115"/>
      <c r="M86" s="136"/>
      <c r="N86" s="115"/>
    </row>
    <row r="87" spans="1:14" ht="15" customHeight="1">
      <c r="A87" s="139"/>
      <c r="B87" s="139"/>
      <c r="C87" s="141" t="s">
        <v>275</v>
      </c>
      <c r="D87" s="141"/>
      <c r="E87" s="135"/>
      <c r="F87" s="141"/>
      <c r="G87" s="135"/>
      <c r="H87" s="141"/>
      <c r="I87" s="136"/>
      <c r="J87" s="115"/>
      <c r="K87" s="135"/>
      <c r="L87" s="115"/>
      <c r="M87" s="136"/>
      <c r="N87" s="115"/>
    </row>
    <row r="88" spans="1:14" ht="15" customHeight="1">
      <c r="A88" s="139"/>
      <c r="B88" s="139"/>
      <c r="C88" s="139"/>
      <c r="D88" s="139"/>
      <c r="E88" s="135"/>
      <c r="F88" s="139"/>
      <c r="G88" s="135"/>
      <c r="H88" s="139"/>
      <c r="I88" s="136"/>
      <c r="J88" s="115"/>
      <c r="K88" s="135"/>
      <c r="L88" s="115"/>
      <c r="M88" s="136"/>
      <c r="N88" s="115"/>
    </row>
    <row r="89" spans="1:14" ht="15" customHeight="1">
      <c r="A89" s="139"/>
      <c r="B89" s="139"/>
      <c r="C89" s="139" t="s">
        <v>168</v>
      </c>
      <c r="D89" s="139"/>
      <c r="E89" s="582">
        <v>228.34</v>
      </c>
      <c r="F89" s="592"/>
      <c r="G89" s="582">
        <v>191.42</v>
      </c>
      <c r="H89" s="592"/>
      <c r="I89" s="587">
        <v>662.03</v>
      </c>
      <c r="J89" s="593"/>
      <c r="K89" s="582">
        <f>419.76</f>
        <v>419.76</v>
      </c>
      <c r="L89" s="115"/>
      <c r="M89" s="584">
        <v>1410.04</v>
      </c>
      <c r="N89" s="115"/>
    </row>
    <row r="90" spans="1:14" ht="15" customHeight="1">
      <c r="A90" s="139"/>
      <c r="B90" s="139"/>
      <c r="C90" s="139" t="s">
        <v>33</v>
      </c>
      <c r="D90" s="139"/>
      <c r="E90" s="582">
        <v>570.08</v>
      </c>
      <c r="F90" s="592"/>
      <c r="G90" s="582">
        <v>220.09</v>
      </c>
      <c r="H90" s="592"/>
      <c r="I90" s="587">
        <v>70.13</v>
      </c>
      <c r="J90" s="593"/>
      <c r="K90" s="582">
        <f>790.17</f>
        <v>790.17</v>
      </c>
      <c r="L90" s="115"/>
      <c r="M90" s="587">
        <v>395.6</v>
      </c>
      <c r="N90" s="115"/>
    </row>
    <row r="91" spans="1:14" ht="15" customHeight="1">
      <c r="A91" s="139"/>
      <c r="B91" s="139"/>
      <c r="C91" s="139" t="s">
        <v>376</v>
      </c>
      <c r="D91" s="139"/>
      <c r="E91" s="582">
        <v>202.8</v>
      </c>
      <c r="F91" s="592"/>
      <c r="G91" s="582">
        <v>-2.56</v>
      </c>
      <c r="H91" s="592"/>
      <c r="I91" s="587">
        <v>-39.05</v>
      </c>
      <c r="J91" s="593"/>
      <c r="K91" s="135">
        <f>200.24</f>
        <v>200.24</v>
      </c>
      <c r="L91" s="115"/>
      <c r="M91" s="587">
        <v>276.07</v>
      </c>
      <c r="N91" s="115"/>
    </row>
    <row r="92" spans="1:14" ht="15.75">
      <c r="A92" s="139"/>
      <c r="B92" s="139"/>
      <c r="C92" s="139" t="s">
        <v>166</v>
      </c>
      <c r="D92" s="139"/>
      <c r="E92" s="582">
        <v>146</v>
      </c>
      <c r="F92" s="592"/>
      <c r="G92" s="582">
        <v>38.11</v>
      </c>
      <c r="H92" s="592"/>
      <c r="I92" s="587">
        <v>-10.51</v>
      </c>
      <c r="J92" s="593"/>
      <c r="K92" s="582">
        <f>184.11</f>
        <v>184.11</v>
      </c>
      <c r="L92" s="115"/>
      <c r="M92" s="587">
        <v>89.99</v>
      </c>
      <c r="N92" s="115"/>
    </row>
    <row r="93" spans="1:14" ht="15.75">
      <c r="A93" s="139"/>
      <c r="B93" s="139"/>
      <c r="C93" s="139" t="s">
        <v>198</v>
      </c>
      <c r="D93" s="139"/>
      <c r="E93" s="583">
        <v>124.97</v>
      </c>
      <c r="F93" s="592"/>
      <c r="G93" s="583">
        <v>88.3</v>
      </c>
      <c r="H93" s="592"/>
      <c r="I93" s="588">
        <v>1.47</v>
      </c>
      <c r="J93" s="593"/>
      <c r="K93" s="583">
        <f>213.27</f>
        <v>213.27</v>
      </c>
      <c r="L93" s="115"/>
      <c r="M93" s="588">
        <f>-967.87+983.31</f>
        <v>15.43999999999994</v>
      </c>
      <c r="N93" s="115"/>
    </row>
    <row r="94" spans="1:14" ht="15" customHeight="1">
      <c r="A94" s="139"/>
      <c r="B94" s="139"/>
      <c r="C94" s="111" t="s">
        <v>41</v>
      </c>
      <c r="D94" s="111"/>
      <c r="E94" s="578">
        <f>SUM(E89:E93)</f>
        <v>1272.19</v>
      </c>
      <c r="F94" s="594"/>
      <c r="G94" s="898">
        <f>SUM(G89:G93)</f>
        <v>535.36</v>
      </c>
      <c r="H94" s="594"/>
      <c r="I94" s="895">
        <f>SUM(I89:I93)</f>
        <v>684.07</v>
      </c>
      <c r="J94" s="591"/>
      <c r="K94" s="578">
        <f>SUM(K89:K93)</f>
        <v>1807.5499999999997</v>
      </c>
      <c r="L94" s="128"/>
      <c r="M94" s="577">
        <f>SUM(M89:M93)</f>
        <v>2187.14</v>
      </c>
      <c r="N94" s="115"/>
    </row>
    <row r="95" spans="1:14" ht="15" customHeight="1">
      <c r="A95" s="139"/>
      <c r="B95" s="139"/>
      <c r="C95" s="138"/>
      <c r="D95" s="138"/>
      <c r="E95" s="582"/>
      <c r="F95" s="595"/>
      <c r="G95" s="582"/>
      <c r="H95" s="595"/>
      <c r="I95" s="587"/>
      <c r="J95" s="593"/>
      <c r="K95" s="582"/>
      <c r="L95" s="115"/>
      <c r="M95" s="584"/>
      <c r="N95" s="115"/>
    </row>
    <row r="96" spans="1:14" ht="15" customHeight="1">
      <c r="A96" s="139"/>
      <c r="B96" s="139"/>
      <c r="C96" s="111" t="s">
        <v>54</v>
      </c>
      <c r="D96" s="111"/>
      <c r="E96" s="582">
        <v>750.43</v>
      </c>
      <c r="F96" s="594"/>
      <c r="G96" s="582">
        <v>273.11</v>
      </c>
      <c r="H96" s="594"/>
      <c r="I96" s="587">
        <v>208.59</v>
      </c>
      <c r="J96" s="593"/>
      <c r="K96" s="580">
        <f>1023.54</f>
        <v>1023.54</v>
      </c>
      <c r="L96" s="115"/>
      <c r="M96" s="587">
        <v>752.7</v>
      </c>
      <c r="N96" s="115"/>
    </row>
    <row r="97" spans="1:14" ht="15.75">
      <c r="A97" s="139"/>
      <c r="B97" s="139"/>
      <c r="C97" s="550" t="s">
        <v>278</v>
      </c>
      <c r="D97" s="139"/>
      <c r="E97" s="596">
        <v>-140.23</v>
      </c>
      <c r="F97" s="597"/>
      <c r="G97" s="899">
        <v>1996.25</v>
      </c>
      <c r="H97" s="597"/>
      <c r="I97" s="589">
        <v>58.6</v>
      </c>
      <c r="J97" s="598"/>
      <c r="K97" s="905">
        <v>1856.02</v>
      </c>
      <c r="L97" s="552"/>
      <c r="M97" s="589">
        <v>355.03</v>
      </c>
      <c r="N97" s="552"/>
    </row>
    <row r="98" spans="1:14" ht="17.25" customHeight="1" thickBot="1">
      <c r="A98" s="139"/>
      <c r="B98" s="139"/>
      <c r="C98" s="138" t="s">
        <v>273</v>
      </c>
      <c r="D98" s="138"/>
      <c r="E98" s="599">
        <f>+E94-E96+E97</f>
        <v>381.5300000000001</v>
      </c>
      <c r="F98" s="595"/>
      <c r="G98" s="581">
        <f>+G94-G96+G97</f>
        <v>2258.5</v>
      </c>
      <c r="H98" s="595"/>
      <c r="I98" s="600">
        <f>+I94-I96+I97</f>
        <v>534.08</v>
      </c>
      <c r="J98" s="593"/>
      <c r="K98" s="581">
        <f>+K94-K96+K97</f>
        <v>2640.0299999999997</v>
      </c>
      <c r="L98" s="128"/>
      <c r="M98" s="586">
        <f>+M94-M96+M97</f>
        <v>1789.4699999999998</v>
      </c>
      <c r="N98" s="115"/>
    </row>
    <row r="99" spans="1:14" ht="9" customHeight="1" thickTop="1">
      <c r="A99" s="139"/>
      <c r="B99" s="139"/>
      <c r="C99" s="139"/>
      <c r="D99" s="139"/>
      <c r="E99" s="135"/>
      <c r="F99" s="139"/>
      <c r="G99" s="135"/>
      <c r="H99" s="139"/>
      <c r="I99" s="136"/>
      <c r="J99" s="115"/>
      <c r="K99" s="135"/>
      <c r="L99" s="115"/>
      <c r="M99" s="136"/>
      <c r="N99" s="115"/>
    </row>
    <row r="100" spans="1:14" ht="15" customHeight="1">
      <c r="A100" s="139">
        <v>3</v>
      </c>
      <c r="B100" s="139"/>
      <c r="C100" s="111" t="s">
        <v>36</v>
      </c>
      <c r="D100" s="111"/>
      <c r="E100" s="135"/>
      <c r="F100" s="111"/>
      <c r="G100" s="135"/>
      <c r="H100" s="111"/>
      <c r="I100" s="136"/>
      <c r="J100" s="115"/>
      <c r="K100" s="135"/>
      <c r="L100" s="115"/>
      <c r="M100" s="135"/>
      <c r="N100" s="115"/>
    </row>
    <row r="101" spans="1:14" ht="15" customHeight="1">
      <c r="A101" s="139"/>
      <c r="B101" s="139"/>
      <c r="C101" s="138" t="s">
        <v>37</v>
      </c>
      <c r="D101" s="138"/>
      <c r="E101" s="135"/>
      <c r="F101" s="138"/>
      <c r="G101" s="135"/>
      <c r="H101" s="138"/>
      <c r="I101" s="136"/>
      <c r="J101" s="115"/>
      <c r="K101" s="135"/>
      <c r="L101" s="115"/>
      <c r="M101" s="136"/>
      <c r="N101" s="115"/>
    </row>
    <row r="102" spans="1:14" ht="15" customHeight="1">
      <c r="A102" s="139"/>
      <c r="B102" s="139"/>
      <c r="C102" s="139"/>
      <c r="D102" s="139"/>
      <c r="E102" s="135"/>
      <c r="F102" s="139"/>
      <c r="G102" s="135"/>
      <c r="H102" s="139"/>
      <c r="I102" s="136"/>
      <c r="J102" s="115"/>
      <c r="K102" s="135"/>
      <c r="L102" s="115"/>
      <c r="M102" s="136"/>
      <c r="N102" s="115"/>
    </row>
    <row r="103" spans="1:14" ht="15" customHeight="1">
      <c r="A103" s="139"/>
      <c r="B103" s="139"/>
      <c r="C103" s="139" t="s">
        <v>168</v>
      </c>
      <c r="D103" s="139"/>
      <c r="E103" s="135">
        <v>21842.79</v>
      </c>
      <c r="F103" s="139"/>
      <c r="G103" s="580">
        <v>17991.07</v>
      </c>
      <c r="H103" s="590"/>
      <c r="I103" s="136">
        <v>22414.93</v>
      </c>
      <c r="J103" s="591"/>
      <c r="K103" s="580">
        <f>17991.07</f>
        <v>17991.07</v>
      </c>
      <c r="L103" s="591"/>
      <c r="M103" s="584">
        <f>22414.93</f>
        <v>22414.93</v>
      </c>
      <c r="N103" s="115"/>
    </row>
    <row r="104" spans="1:14" ht="15" customHeight="1">
      <c r="A104" s="139"/>
      <c r="B104" s="139"/>
      <c r="C104" s="139" t="s">
        <v>33</v>
      </c>
      <c r="D104" s="139"/>
      <c r="E104" s="135">
        <v>4670.96</v>
      </c>
      <c r="F104" s="139"/>
      <c r="G104" s="580">
        <v>5026.49</v>
      </c>
      <c r="H104" s="590"/>
      <c r="I104" s="136">
        <v>4127.16</v>
      </c>
      <c r="J104" s="591"/>
      <c r="K104" s="580">
        <f>5026.49</f>
        <v>5026.49</v>
      </c>
      <c r="L104" s="591"/>
      <c r="M104" s="584">
        <v>4127.16</v>
      </c>
      <c r="N104" s="115"/>
    </row>
    <row r="105" spans="1:14" ht="15" customHeight="1">
      <c r="A105" s="139"/>
      <c r="B105" s="139"/>
      <c r="C105" s="139" t="s">
        <v>376</v>
      </c>
      <c r="D105" s="139"/>
      <c r="E105" s="135">
        <v>1848.96</v>
      </c>
      <c r="F105" s="139"/>
      <c r="G105" s="580">
        <v>1830.15</v>
      </c>
      <c r="H105" s="590"/>
      <c r="I105" s="136">
        <v>1007.41</v>
      </c>
      <c r="J105" s="591"/>
      <c r="K105" s="874">
        <v>1830.15</v>
      </c>
      <c r="L105" s="591"/>
      <c r="M105" s="584">
        <f>1007.41</f>
        <v>1007.41</v>
      </c>
      <c r="N105" s="115"/>
    </row>
    <row r="106" spans="1:14" ht="15.75">
      <c r="A106" s="139"/>
      <c r="B106" s="139"/>
      <c r="C106" s="139" t="s">
        <v>166</v>
      </c>
      <c r="D106" s="139"/>
      <c r="E106" s="135">
        <v>1973.41</v>
      </c>
      <c r="F106" s="139"/>
      <c r="G106" s="580">
        <v>1522.72</v>
      </c>
      <c r="H106" s="590"/>
      <c r="I106" s="136">
        <v>1691.84</v>
      </c>
      <c r="J106" s="591"/>
      <c r="K106" s="580">
        <f>1522.72</f>
        <v>1522.72</v>
      </c>
      <c r="L106" s="591"/>
      <c r="M106" s="584">
        <f>1691.84</f>
        <v>1691.84</v>
      </c>
      <c r="N106" s="115"/>
    </row>
    <row r="107" spans="1:14" ht="15.75" customHeight="1" hidden="1">
      <c r="A107" s="139"/>
      <c r="B107" s="139"/>
      <c r="C107" s="139" t="s">
        <v>200</v>
      </c>
      <c r="D107" s="139"/>
      <c r="E107" s="135"/>
      <c r="F107" s="139"/>
      <c r="G107" s="580">
        <f>+K107</f>
        <v>0</v>
      </c>
      <c r="H107" s="590"/>
      <c r="I107" s="136">
        <f>+M107</f>
        <v>0</v>
      </c>
      <c r="J107" s="591"/>
      <c r="K107" s="580"/>
      <c r="L107" s="591"/>
      <c r="M107" s="584"/>
      <c r="N107" s="115"/>
    </row>
    <row r="108" spans="1:14" ht="15" customHeight="1">
      <c r="A108" s="139"/>
      <c r="B108" s="139"/>
      <c r="C108" s="139" t="s">
        <v>198</v>
      </c>
      <c r="D108" s="139"/>
      <c r="E108" s="135">
        <v>-1599.31</v>
      </c>
      <c r="F108" s="139"/>
      <c r="G108" s="582">
        <v>869.77</v>
      </c>
      <c r="H108" s="590"/>
      <c r="I108" s="136">
        <v>-2114.22</v>
      </c>
      <c r="J108" s="591"/>
      <c r="K108" s="582">
        <v>869.77</v>
      </c>
      <c r="L108" s="591"/>
      <c r="M108" s="584">
        <v>-2114.22</v>
      </c>
      <c r="N108" s="115"/>
    </row>
    <row r="109" spans="1:14" ht="15" customHeight="1" thickBot="1">
      <c r="A109" s="139"/>
      <c r="B109" s="139"/>
      <c r="C109" s="139"/>
      <c r="D109" s="139"/>
      <c r="E109" s="424">
        <f>SUM(E103:E108)</f>
        <v>28736.809999999998</v>
      </c>
      <c r="F109" s="139"/>
      <c r="G109" s="581">
        <f>SUM(G103:G108)</f>
        <v>27240.2</v>
      </c>
      <c r="H109" s="590"/>
      <c r="I109" s="430">
        <f>SUM(I103:I108)</f>
        <v>27127.12</v>
      </c>
      <c r="J109" s="591"/>
      <c r="K109" s="581">
        <f>SUM(K103:K108)</f>
        <v>27240.2</v>
      </c>
      <c r="L109" s="601"/>
      <c r="M109" s="586">
        <f>SUM(M103:M108)</f>
        <v>27127.12</v>
      </c>
      <c r="N109" s="115"/>
    </row>
    <row r="110" spans="1:14" ht="15" customHeight="1" thickBot="1" thickTop="1">
      <c r="A110" s="139"/>
      <c r="B110" s="139"/>
      <c r="C110" s="139"/>
      <c r="D110" s="139"/>
      <c r="E110" s="425"/>
      <c r="F110" s="139"/>
      <c r="G110" s="425"/>
      <c r="H110" s="139"/>
      <c r="I110" s="437"/>
      <c r="J110" s="426"/>
      <c r="K110" s="431"/>
      <c r="L110" s="432"/>
      <c r="M110" s="433"/>
      <c r="N110" s="140"/>
    </row>
    <row r="111" spans="1:14" ht="15" customHeight="1">
      <c r="A111" s="113"/>
      <c r="B111" s="113"/>
      <c r="C111" s="113"/>
      <c r="D111" s="113"/>
      <c r="E111" s="113"/>
      <c r="F111" s="113"/>
      <c r="G111" s="113"/>
      <c r="H111" s="113"/>
      <c r="I111" s="277"/>
      <c r="J111" s="113"/>
      <c r="K111" s="873"/>
      <c r="L111" s="113"/>
      <c r="M111" s="143"/>
      <c r="N111" s="113"/>
    </row>
    <row r="112" spans="1:14" ht="15" customHeight="1">
      <c r="A112" s="113"/>
      <c r="B112" s="113"/>
      <c r="C112" s="111" t="s">
        <v>379</v>
      </c>
      <c r="D112" s="113"/>
      <c r="E112" s="113"/>
      <c r="F112" s="113"/>
      <c r="G112" s="113"/>
      <c r="H112" s="113"/>
      <c r="I112" s="277"/>
      <c r="J112" s="113"/>
      <c r="K112" s="873"/>
      <c r="L112" s="113"/>
      <c r="M112" s="143"/>
      <c r="N112" s="113"/>
    </row>
    <row r="113" spans="1:14" ht="15" customHeight="1">
      <c r="A113" s="113"/>
      <c r="B113" s="113"/>
      <c r="C113" s="182"/>
      <c r="D113"/>
      <c r="E113"/>
      <c r="F113"/>
      <c r="G113" s="113"/>
      <c r="H113" s="113"/>
      <c r="I113" s="277"/>
      <c r="J113" s="113"/>
      <c r="K113" s="873"/>
      <c r="L113" s="113"/>
      <c r="M113" s="143"/>
      <c r="N113" s="113"/>
    </row>
    <row r="114" spans="1:14" ht="15" customHeight="1">
      <c r="A114" s="927">
        <v>1</v>
      </c>
      <c r="B114" s="113"/>
      <c r="C114" s="912" t="s">
        <v>380</v>
      </c>
      <c r="D114"/>
      <c r="E114" s="30" t="s">
        <v>381</v>
      </c>
      <c r="F114"/>
      <c r="G114" s="113"/>
      <c r="H114" s="113"/>
      <c r="I114" s="277"/>
      <c r="J114" s="113"/>
      <c r="K114" s="873"/>
      <c r="L114" s="113"/>
      <c r="M114" s="143"/>
      <c r="N114" s="113"/>
    </row>
    <row r="115" spans="1:14" ht="15" customHeight="1">
      <c r="A115" s="927"/>
      <c r="B115" s="113"/>
      <c r="C115" s="912" t="s">
        <v>383</v>
      </c>
      <c r="D115"/>
      <c r="E115" s="30" t="s">
        <v>382</v>
      </c>
      <c r="F115"/>
      <c r="G115" s="113"/>
      <c r="H115" s="113"/>
      <c r="I115" s="277"/>
      <c r="J115" s="113"/>
      <c r="K115" s="873"/>
      <c r="L115" s="113"/>
      <c r="M115" s="143"/>
      <c r="N115" s="113"/>
    </row>
    <row r="116" spans="1:14" ht="15" customHeight="1">
      <c r="A116" s="927"/>
      <c r="B116" s="113"/>
      <c r="C116" s="907"/>
      <c r="D116"/>
      <c r="E116"/>
      <c r="F116"/>
      <c r="G116" s="113"/>
      <c r="H116" s="113"/>
      <c r="I116" s="277"/>
      <c r="J116" s="113"/>
      <c r="K116" s="873"/>
      <c r="L116" s="113"/>
      <c r="M116" s="143"/>
      <c r="N116" s="113"/>
    </row>
    <row r="117" spans="1:14" ht="15" customHeight="1">
      <c r="A117" s="927">
        <v>2</v>
      </c>
      <c r="B117" s="113"/>
      <c r="C117" s="912" t="s">
        <v>384</v>
      </c>
      <c r="D117" s="913"/>
      <c r="E117" s="30" t="s">
        <v>385</v>
      </c>
      <c r="F117" s="30"/>
      <c r="G117" s="139"/>
      <c r="H117" s="139"/>
      <c r="I117" s="278"/>
      <c r="J117" s="139"/>
      <c r="K117" s="4"/>
      <c r="L117" s="139"/>
      <c r="M117" s="920"/>
      <c r="N117" s="113"/>
    </row>
    <row r="118" spans="1:14" ht="15" customHeight="1">
      <c r="A118" s="927"/>
      <c r="B118" s="113"/>
      <c r="C118" s="912" t="s">
        <v>386</v>
      </c>
      <c r="D118" s="913"/>
      <c r="E118" s="30" t="s">
        <v>418</v>
      </c>
      <c r="F118" s="913"/>
      <c r="G118" s="914"/>
      <c r="H118" s="914"/>
      <c r="I118" s="277"/>
      <c r="J118" s="915"/>
      <c r="K118" s="916"/>
      <c r="L118" s="915"/>
      <c r="M118" s="917"/>
      <c r="N118" s="113"/>
    </row>
    <row r="119" spans="1:14" ht="15" customHeight="1">
      <c r="A119" s="927"/>
      <c r="B119" s="113"/>
      <c r="C119" s="912" t="s">
        <v>419</v>
      </c>
      <c r="D119" s="913"/>
      <c r="E119" s="30" t="s">
        <v>420</v>
      </c>
      <c r="F119" s="913"/>
      <c r="G119" s="914"/>
      <c r="H119" s="914"/>
      <c r="I119" s="277"/>
      <c r="J119" s="915"/>
      <c r="K119" s="916"/>
      <c r="L119" s="915"/>
      <c r="M119" s="917"/>
      <c r="N119" s="113"/>
    </row>
    <row r="120" spans="1:14" ht="15" customHeight="1">
      <c r="A120" s="927"/>
      <c r="B120" s="113"/>
      <c r="C120" s="912"/>
      <c r="D120" s="913"/>
      <c r="E120" s="913"/>
      <c r="F120" s="913"/>
      <c r="G120" s="914"/>
      <c r="H120" s="914"/>
      <c r="I120" s="277"/>
      <c r="J120" s="915"/>
      <c r="K120" s="916"/>
      <c r="L120" s="915"/>
      <c r="M120" s="917"/>
      <c r="N120" s="113"/>
    </row>
    <row r="121" spans="1:14" ht="15" customHeight="1">
      <c r="A121" s="927">
        <v>3</v>
      </c>
      <c r="B121" s="113"/>
      <c r="C121" s="912" t="s">
        <v>387</v>
      </c>
      <c r="D121" s="913"/>
      <c r="E121" s="30" t="s">
        <v>388</v>
      </c>
      <c r="F121" s="913"/>
      <c r="G121" s="914"/>
      <c r="H121" s="914"/>
      <c r="I121" s="277"/>
      <c r="J121" s="915"/>
      <c r="K121" s="916"/>
      <c r="L121" s="915"/>
      <c r="M121" s="917"/>
      <c r="N121" s="113"/>
    </row>
    <row r="122" spans="1:14" ht="15" customHeight="1">
      <c r="A122" s="928"/>
      <c r="B122" s="113"/>
      <c r="C122" s="912" t="s">
        <v>389</v>
      </c>
      <c r="D122" s="913"/>
      <c r="E122" s="913"/>
      <c r="F122" s="913"/>
      <c r="G122" s="914"/>
      <c r="H122" s="914"/>
      <c r="I122" s="277"/>
      <c r="J122" s="915"/>
      <c r="K122" s="916"/>
      <c r="L122" s="915"/>
      <c r="M122" s="917"/>
      <c r="N122" s="113"/>
    </row>
    <row r="123" spans="1:14" ht="15" customHeight="1">
      <c r="A123" s="928"/>
      <c r="B123" s="113"/>
      <c r="C123" s="912"/>
      <c r="D123" s="913"/>
      <c r="E123" s="913"/>
      <c r="F123" s="913"/>
      <c r="G123" s="914"/>
      <c r="H123" s="914"/>
      <c r="I123" s="277"/>
      <c r="J123" s="915"/>
      <c r="K123" s="916"/>
      <c r="L123" s="915"/>
      <c r="M123" s="917"/>
      <c r="N123" s="113"/>
    </row>
    <row r="124" spans="1:14" ht="15" customHeight="1">
      <c r="A124" s="928">
        <v>4</v>
      </c>
      <c r="B124" s="113"/>
      <c r="C124" s="912" t="s">
        <v>390</v>
      </c>
      <c r="D124" s="913"/>
      <c r="E124" s="30" t="s">
        <v>391</v>
      </c>
      <c r="F124" s="30"/>
      <c r="G124" s="139"/>
      <c r="H124" s="139"/>
      <c r="I124" s="278"/>
      <c r="J124" s="915"/>
      <c r="K124" s="916"/>
      <c r="L124" s="915"/>
      <c r="M124" s="917"/>
      <c r="N124" s="113"/>
    </row>
    <row r="125" spans="1:14" ht="15" customHeight="1">
      <c r="A125" s="928"/>
      <c r="B125" s="113"/>
      <c r="C125" s="931" t="s">
        <v>392</v>
      </c>
      <c r="D125" s="931"/>
      <c r="E125" s="909" t="s">
        <v>393</v>
      </c>
      <c r="F125" s="909"/>
      <c r="G125" s="139"/>
      <c r="H125" s="139"/>
      <c r="I125" s="278"/>
      <c r="J125" s="915"/>
      <c r="K125" s="916"/>
      <c r="L125" s="915"/>
      <c r="M125" s="917"/>
      <c r="N125" s="113"/>
    </row>
    <row r="126" spans="1:14" ht="15" customHeight="1">
      <c r="A126" s="928"/>
      <c r="B126" s="113"/>
      <c r="C126" s="932"/>
      <c r="D126" s="932"/>
      <c r="E126" s="919"/>
      <c r="F126" s="919"/>
      <c r="G126" s="139"/>
      <c r="H126" s="139"/>
      <c r="I126" s="278"/>
      <c r="J126" s="915"/>
      <c r="K126" s="916"/>
      <c r="L126" s="915"/>
      <c r="M126" s="917"/>
      <c r="N126" s="113"/>
    </row>
    <row r="127" spans="1:14" ht="15" customHeight="1">
      <c r="A127" s="928"/>
      <c r="B127" s="113"/>
      <c r="C127" s="918" t="s">
        <v>394</v>
      </c>
      <c r="D127" s="921"/>
      <c r="L127" s="911"/>
      <c r="M127" s="917"/>
      <c r="N127" s="113"/>
    </row>
    <row r="128" spans="1:14" ht="15" customHeight="1">
      <c r="A128" s="928"/>
      <c r="B128" s="113"/>
      <c r="C128" s="923" t="s">
        <v>395</v>
      </c>
      <c r="D128" s="922"/>
      <c r="E128" s="919" t="s">
        <v>396</v>
      </c>
      <c r="F128" s="919"/>
      <c r="G128" s="138" t="s">
        <v>397</v>
      </c>
      <c r="H128" s="138"/>
      <c r="I128" s="924" t="s">
        <v>398</v>
      </c>
      <c r="J128" s="925"/>
      <c r="K128" s="926"/>
      <c r="L128" s="911"/>
      <c r="M128" s="143"/>
      <c r="N128" s="113"/>
    </row>
    <row r="129" spans="1:14" ht="15" customHeight="1">
      <c r="A129" s="928"/>
      <c r="B129" s="113"/>
      <c r="C129" s="907"/>
      <c r="D129"/>
      <c r="E129" s="30"/>
      <c r="F129" s="30"/>
      <c r="G129" s="139"/>
      <c r="H129" s="139"/>
      <c r="I129" s="278"/>
      <c r="J129" s="113"/>
      <c r="K129" s="873"/>
      <c r="L129" s="113"/>
      <c r="M129" s="143"/>
      <c r="N129" s="113"/>
    </row>
    <row r="130" spans="1:14" ht="15" customHeight="1">
      <c r="A130" s="928"/>
      <c r="B130" s="113"/>
      <c r="C130" s="912" t="s">
        <v>401</v>
      </c>
      <c r="D130"/>
      <c r="E130" s="30" t="s">
        <v>399</v>
      </c>
      <c r="F130" s="30"/>
      <c r="G130" s="139"/>
      <c r="H130" s="139"/>
      <c r="I130" s="278"/>
      <c r="J130" s="113"/>
      <c r="K130" s="873"/>
      <c r="L130" s="113"/>
      <c r="M130" s="143"/>
      <c r="N130" s="113"/>
    </row>
    <row r="131" spans="1:14" ht="15" customHeight="1">
      <c r="A131" s="928"/>
      <c r="B131" s="113"/>
      <c r="C131" s="907"/>
      <c r="D131"/>
      <c r="E131" s="30" t="s">
        <v>400</v>
      </c>
      <c r="F131" s="30"/>
      <c r="G131" s="139"/>
      <c r="H131" s="139"/>
      <c r="I131" s="278"/>
      <c r="J131" s="113"/>
      <c r="K131" s="873"/>
      <c r="L131" s="113"/>
      <c r="M131" s="143"/>
      <c r="N131" s="113"/>
    </row>
    <row r="132" spans="1:14" ht="15" customHeight="1">
      <c r="A132" s="928"/>
      <c r="B132" s="113"/>
      <c r="C132" s="908"/>
      <c r="D132"/>
      <c r="E132" s="30"/>
      <c r="F132" s="30"/>
      <c r="G132" s="139"/>
      <c r="H132" s="139"/>
      <c r="I132" s="278"/>
      <c r="J132" s="113"/>
      <c r="K132" s="873"/>
      <c r="L132" s="113"/>
      <c r="M132" s="143"/>
      <c r="N132" s="113"/>
    </row>
    <row r="133" spans="1:14" ht="15" customHeight="1">
      <c r="A133" s="928">
        <v>5</v>
      </c>
      <c r="B133" s="113"/>
      <c r="C133" s="912" t="s">
        <v>402</v>
      </c>
      <c r="D133"/>
      <c r="E133" s="30" t="s">
        <v>403</v>
      </c>
      <c r="F133"/>
      <c r="G133" s="113"/>
      <c r="H133" s="113"/>
      <c r="I133" s="277"/>
      <c r="J133" s="113"/>
      <c r="K133" s="873"/>
      <c r="L133" s="113"/>
      <c r="M133" s="143"/>
      <c r="N133" s="113"/>
    </row>
    <row r="134" spans="1:14" ht="15" customHeight="1">
      <c r="A134" s="928"/>
      <c r="B134" s="113"/>
      <c r="C134" s="912" t="s">
        <v>404</v>
      </c>
      <c r="D134" s="913"/>
      <c r="E134" s="30" t="s">
        <v>405</v>
      </c>
      <c r="F134"/>
      <c r="G134" s="113"/>
      <c r="H134" s="113"/>
      <c r="I134" s="277"/>
      <c r="J134" s="113"/>
      <c r="K134" s="873"/>
      <c r="L134" s="113"/>
      <c r="M134" s="143"/>
      <c r="N134" s="113"/>
    </row>
    <row r="135" spans="1:14" ht="15" customHeight="1">
      <c r="A135" s="928"/>
      <c r="B135" s="113"/>
      <c r="C135" s="912" t="s">
        <v>406</v>
      </c>
      <c r="D135"/>
      <c r="E135"/>
      <c r="F135"/>
      <c r="G135" s="113"/>
      <c r="H135" s="113"/>
      <c r="I135" s="277"/>
      <c r="J135" s="113"/>
      <c r="K135" s="873"/>
      <c r="L135" s="113"/>
      <c r="M135" s="143"/>
      <c r="N135" s="113"/>
    </row>
    <row r="136" spans="1:14" ht="15" customHeight="1">
      <c r="A136" s="928"/>
      <c r="B136" s="113"/>
      <c r="C136" s="908"/>
      <c r="D136"/>
      <c r="E136"/>
      <c r="F136"/>
      <c r="G136" s="113"/>
      <c r="H136" s="113"/>
      <c r="I136" s="277"/>
      <c r="J136" s="113"/>
      <c r="K136" s="873"/>
      <c r="L136" s="113"/>
      <c r="M136" s="143"/>
      <c r="N136" s="113"/>
    </row>
    <row r="137" spans="1:14" ht="15" customHeight="1">
      <c r="A137" s="928">
        <v>6</v>
      </c>
      <c r="B137" s="113"/>
      <c r="C137" s="912" t="s">
        <v>407</v>
      </c>
      <c r="D137"/>
      <c r="E137" s="30" t="s">
        <v>408</v>
      </c>
      <c r="F137"/>
      <c r="G137" s="113"/>
      <c r="H137" s="113"/>
      <c r="I137" s="277"/>
      <c r="J137" s="113"/>
      <c r="K137" s="873"/>
      <c r="L137" s="113"/>
      <c r="M137" s="143"/>
      <c r="N137" s="113"/>
    </row>
    <row r="138" spans="1:14" ht="15" customHeight="1">
      <c r="A138" s="928"/>
      <c r="B138" s="113"/>
      <c r="C138" s="910"/>
      <c r="D138"/>
      <c r="E138"/>
      <c r="F138"/>
      <c r="G138" s="113"/>
      <c r="H138" s="113"/>
      <c r="I138" s="277"/>
      <c r="J138" s="113"/>
      <c r="K138" s="873"/>
      <c r="L138" s="113"/>
      <c r="M138" s="143"/>
      <c r="N138" s="113"/>
    </row>
    <row r="139" spans="1:14" ht="15" customHeight="1">
      <c r="A139" s="928">
        <v>7</v>
      </c>
      <c r="B139" s="113"/>
      <c r="C139" s="912" t="s">
        <v>409</v>
      </c>
      <c r="D139"/>
      <c r="E139" s="30" t="s">
        <v>410</v>
      </c>
      <c r="F139" s="30"/>
      <c r="G139" s="139"/>
      <c r="H139" s="139"/>
      <c r="I139" s="278"/>
      <c r="J139" s="139"/>
      <c r="K139" s="4"/>
      <c r="L139" s="113"/>
      <c r="M139" s="143"/>
      <c r="N139" s="113"/>
    </row>
    <row r="140" spans="1:14" ht="15" customHeight="1">
      <c r="A140" s="928"/>
      <c r="B140" s="113"/>
      <c r="C140" s="139" t="s">
        <v>411</v>
      </c>
      <c r="D140" s="113"/>
      <c r="E140" s="139" t="s">
        <v>412</v>
      </c>
      <c r="F140" s="139"/>
      <c r="G140" s="139"/>
      <c r="H140" s="139"/>
      <c r="I140" s="278"/>
      <c r="J140" s="139"/>
      <c r="K140" s="4"/>
      <c r="L140" s="139"/>
      <c r="M140" s="920"/>
      <c r="N140" s="139"/>
    </row>
    <row r="141" spans="1:14" ht="15" customHeight="1">
      <c r="A141" s="928"/>
      <c r="B141" s="113"/>
      <c r="C141" s="139" t="s">
        <v>421</v>
      </c>
      <c r="D141" s="113"/>
      <c r="E141" s="113"/>
      <c r="F141" s="113"/>
      <c r="G141" s="113"/>
      <c r="H141" s="113"/>
      <c r="I141" s="277"/>
      <c r="J141" s="113"/>
      <c r="K141" s="873"/>
      <c r="L141" s="113"/>
      <c r="M141" s="143"/>
      <c r="N141" s="113"/>
    </row>
    <row r="142" spans="1:14" ht="15" customHeight="1">
      <c r="A142" s="928"/>
      <c r="B142" s="113"/>
      <c r="C142" s="113"/>
      <c r="D142" s="113"/>
      <c r="E142" s="113"/>
      <c r="F142" s="113"/>
      <c r="G142" s="113"/>
      <c r="H142" s="113"/>
      <c r="I142" s="277"/>
      <c r="J142" s="113"/>
      <c r="K142" s="873"/>
      <c r="L142" s="113"/>
      <c r="M142" s="143"/>
      <c r="N142" s="113"/>
    </row>
    <row r="143" spans="1:14" ht="15" customHeight="1">
      <c r="A143" s="928">
        <v>8</v>
      </c>
      <c r="B143" s="113"/>
      <c r="C143" s="139" t="s">
        <v>422</v>
      </c>
      <c r="D143" s="113"/>
      <c r="E143" s="113"/>
      <c r="F143" s="113"/>
      <c r="G143" s="113"/>
      <c r="H143" s="113"/>
      <c r="I143" s="277"/>
      <c r="J143" s="113"/>
      <c r="K143" s="873"/>
      <c r="L143" s="113"/>
      <c r="M143" s="143"/>
      <c r="N143" s="113"/>
    </row>
    <row r="144" spans="1:14" ht="15" customHeight="1">
      <c r="A144" s="928"/>
      <c r="B144" s="113"/>
      <c r="C144" s="139" t="s">
        <v>413</v>
      </c>
      <c r="D144" s="113"/>
      <c r="E144" s="113"/>
      <c r="F144" s="113"/>
      <c r="G144" s="113"/>
      <c r="H144" s="113"/>
      <c r="I144" s="277"/>
      <c r="J144" s="113"/>
      <c r="K144" s="873"/>
      <c r="L144" s="113"/>
      <c r="M144" s="143"/>
      <c r="N144" s="113"/>
    </row>
    <row r="145" spans="1:14" ht="15" customHeight="1">
      <c r="A145" s="928"/>
      <c r="B145" s="113"/>
      <c r="C145" s="113"/>
      <c r="D145" s="113"/>
      <c r="E145" s="113"/>
      <c r="F145" s="113"/>
      <c r="G145" s="113"/>
      <c r="H145" s="113"/>
      <c r="I145" s="277"/>
      <c r="J145" s="113"/>
      <c r="K145" s="873"/>
      <c r="L145" s="113"/>
      <c r="M145" s="143"/>
      <c r="N145" s="113"/>
    </row>
    <row r="146" spans="1:14" ht="15" customHeight="1">
      <c r="A146" s="928"/>
      <c r="B146" s="113"/>
      <c r="C146" s="139" t="s">
        <v>414</v>
      </c>
      <c r="D146" s="113"/>
      <c r="E146" s="113"/>
      <c r="F146" s="113"/>
      <c r="G146" s="113"/>
      <c r="H146" s="113"/>
      <c r="I146" s="277"/>
      <c r="J146" s="113"/>
      <c r="K146" s="873"/>
      <c r="L146" s="113"/>
      <c r="M146" s="143"/>
      <c r="N146" s="113"/>
    </row>
    <row r="147" spans="1:14" ht="15" customHeight="1">
      <c r="A147" s="928"/>
      <c r="B147" s="113"/>
      <c r="C147" s="139" t="s">
        <v>415</v>
      </c>
      <c r="D147" s="139"/>
      <c r="E147" s="139"/>
      <c r="F147" s="139"/>
      <c r="G147" s="139"/>
      <c r="H147" s="139"/>
      <c r="I147" s="278"/>
      <c r="J147" s="139"/>
      <c r="K147" s="4"/>
      <c r="L147" s="113"/>
      <c r="M147" s="143"/>
      <c r="N147" s="113"/>
    </row>
    <row r="148" spans="1:14" ht="15" customHeight="1">
      <c r="A148" s="113"/>
      <c r="B148" s="113"/>
      <c r="C148" s="139" t="s">
        <v>416</v>
      </c>
      <c r="D148" s="139"/>
      <c r="E148" s="139"/>
      <c r="F148" s="139"/>
      <c r="G148" s="139"/>
      <c r="H148" s="139"/>
      <c r="I148" s="278"/>
      <c r="J148" s="139"/>
      <c r="K148" s="4"/>
      <c r="L148" s="113"/>
      <c r="M148" s="143"/>
      <c r="N148" s="113"/>
    </row>
    <row r="149" spans="1:14" ht="15" customHeight="1">
      <c r="A149" s="113"/>
      <c r="B149" s="113"/>
      <c r="C149" s="139" t="s">
        <v>417</v>
      </c>
      <c r="D149" s="139"/>
      <c r="E149" s="139"/>
      <c r="F149" s="139"/>
      <c r="G149" s="139"/>
      <c r="H149" s="139"/>
      <c r="I149" s="278"/>
      <c r="J149" s="139"/>
      <c r="K149" s="4"/>
      <c r="L149" s="113"/>
      <c r="M149" s="143"/>
      <c r="N149" s="113"/>
    </row>
    <row r="150" spans="1:14" ht="15" customHeight="1">
      <c r="A150" s="113"/>
      <c r="B150" s="113"/>
      <c r="C150" s="113"/>
      <c r="D150" s="113"/>
      <c r="E150" s="113"/>
      <c r="F150" s="113"/>
      <c r="G150" s="113"/>
      <c r="H150" s="113"/>
      <c r="I150" s="277"/>
      <c r="J150" s="113"/>
      <c r="K150" s="873"/>
      <c r="L150" s="113"/>
      <c r="M150" s="143"/>
      <c r="N150" s="113"/>
    </row>
    <row r="151" spans="1:14" ht="15" customHeight="1">
      <c r="A151" s="113"/>
      <c r="B151" s="113"/>
      <c r="C151" s="113"/>
      <c r="D151" s="113"/>
      <c r="E151" s="113"/>
      <c r="F151" s="113"/>
      <c r="G151" s="113"/>
      <c r="H151" s="113"/>
      <c r="I151" s="277"/>
      <c r="J151" s="113"/>
      <c r="K151" s="873"/>
      <c r="L151" s="113"/>
      <c r="M151" s="143"/>
      <c r="N151" s="113"/>
    </row>
    <row r="152" spans="1:14" ht="15.75">
      <c r="A152" s="113"/>
      <c r="B152" s="113"/>
      <c r="C152" s="113"/>
      <c r="D152" s="113"/>
      <c r="E152" s="113"/>
      <c r="F152" s="113"/>
      <c r="G152" s="113"/>
      <c r="H152" s="113"/>
      <c r="I152" s="277"/>
      <c r="J152" s="113"/>
      <c r="K152" s="873"/>
      <c r="L152" s="113"/>
      <c r="M152" s="108"/>
      <c r="N152" s="113"/>
    </row>
    <row r="153" spans="1:13" s="4" customFormat="1" ht="15.75">
      <c r="A153" s="29" t="s">
        <v>363</v>
      </c>
      <c r="B153" s="10"/>
      <c r="L153" s="5"/>
      <c r="M153" s="5"/>
    </row>
    <row r="154" spans="1:13" s="4" customFormat="1" ht="15.75">
      <c r="A154" s="173"/>
      <c r="B154" s="10"/>
      <c r="L154" s="5"/>
      <c r="M154" s="5"/>
    </row>
    <row r="155" spans="1:13" s="4" customFormat="1" ht="16.5" thickBot="1">
      <c r="A155" s="877"/>
      <c r="B155" s="75"/>
      <c r="C155" s="62"/>
      <c r="D155" s="62"/>
      <c r="E155" s="62"/>
      <c r="F155" s="62"/>
      <c r="G155" s="62"/>
      <c r="I155" s="22"/>
      <c r="K155" s="22" t="s">
        <v>81</v>
      </c>
      <c r="L155" s="5"/>
      <c r="M155" s="5"/>
    </row>
    <row r="156" spans="1:13" s="4" customFormat="1" ht="15.75">
      <c r="A156" s="58"/>
      <c r="B156" s="14"/>
      <c r="C156" s="14"/>
      <c r="D156" s="14"/>
      <c r="E156" s="14"/>
      <c r="F156" s="14"/>
      <c r="G156" s="14"/>
      <c r="H156" s="878"/>
      <c r="I156" s="63">
        <v>-1</v>
      </c>
      <c r="J156" s="57"/>
      <c r="K156" s="63">
        <v>-2</v>
      </c>
      <c r="L156" s="5"/>
      <c r="M156" s="5"/>
    </row>
    <row r="157" spans="1:13" s="4" customFormat="1" ht="15.75">
      <c r="A157" s="58"/>
      <c r="B157" s="14"/>
      <c r="C157" s="59"/>
      <c r="D157" s="14"/>
      <c r="E157" s="14"/>
      <c r="F157" s="14"/>
      <c r="G157" s="14"/>
      <c r="H157" s="21"/>
      <c r="I157" s="106" t="s">
        <v>344</v>
      </c>
      <c r="J157" s="59"/>
      <c r="K157" s="65" t="s">
        <v>345</v>
      </c>
      <c r="L157" s="5"/>
      <c r="M157" s="5"/>
    </row>
    <row r="158" spans="1:13" s="4" customFormat="1" ht="15.75">
      <c r="A158" s="58"/>
      <c r="B158" s="14"/>
      <c r="C158" s="14"/>
      <c r="D158" s="14"/>
      <c r="E158" s="14"/>
      <c r="F158" s="14"/>
      <c r="G158" s="14"/>
      <c r="H158" s="21"/>
      <c r="I158" s="106" t="s">
        <v>346</v>
      </c>
      <c r="J158" s="879"/>
      <c r="K158" s="65" t="s">
        <v>346</v>
      </c>
      <c r="L158" s="5"/>
      <c r="M158" s="5"/>
    </row>
    <row r="159" spans="1:13" s="4" customFormat="1" ht="15.75">
      <c r="A159" s="58"/>
      <c r="B159" s="14"/>
      <c r="C159" s="14"/>
      <c r="D159" s="14"/>
      <c r="E159" s="14"/>
      <c r="F159" s="14"/>
      <c r="G159" s="14"/>
      <c r="H159" s="21"/>
      <c r="I159" s="106" t="s">
        <v>347</v>
      </c>
      <c r="J159" s="59"/>
      <c r="K159" s="65" t="s">
        <v>348</v>
      </c>
      <c r="L159" s="5"/>
      <c r="M159" s="5"/>
    </row>
    <row r="160" spans="1:13" s="4" customFormat="1" ht="15.75">
      <c r="A160" s="58"/>
      <c r="B160" s="14"/>
      <c r="C160" s="14"/>
      <c r="D160" s="14"/>
      <c r="E160" s="14"/>
      <c r="F160" s="14"/>
      <c r="G160" s="14"/>
      <c r="H160" s="21"/>
      <c r="I160" s="64" t="s">
        <v>2</v>
      </c>
      <c r="J160" s="59"/>
      <c r="K160" s="66" t="s">
        <v>2</v>
      </c>
      <c r="L160" s="5"/>
      <c r="M160" s="5"/>
    </row>
    <row r="161" spans="1:13" s="4" customFormat="1" ht="15.75">
      <c r="A161" s="58"/>
      <c r="B161" s="14"/>
      <c r="C161" s="97"/>
      <c r="D161" s="14"/>
      <c r="E161" s="14"/>
      <c r="F161" s="14"/>
      <c r="G161" s="14"/>
      <c r="H161" s="21"/>
      <c r="I161" s="875" t="s">
        <v>371</v>
      </c>
      <c r="J161" s="14"/>
      <c r="K161" s="876" t="s">
        <v>372</v>
      </c>
      <c r="L161" s="5"/>
      <c r="M161" s="5"/>
    </row>
    <row r="162" spans="1:13" s="4" customFormat="1" ht="16.5" thickBot="1">
      <c r="A162" s="61"/>
      <c r="B162" s="62"/>
      <c r="C162" s="880" t="s">
        <v>56</v>
      </c>
      <c r="D162" s="62"/>
      <c r="E162" s="62"/>
      <c r="F162" s="62"/>
      <c r="G162" s="62"/>
      <c r="H162" s="881"/>
      <c r="I162" s="107" t="s">
        <v>349</v>
      </c>
      <c r="J162" s="882"/>
      <c r="K162" s="94" t="s">
        <v>6</v>
      </c>
      <c r="L162" s="5"/>
      <c r="M162" s="5"/>
    </row>
    <row r="163" spans="1:13" s="4" customFormat="1" ht="15.75">
      <c r="A163" s="58"/>
      <c r="B163" s="14"/>
      <c r="C163" s="100"/>
      <c r="D163" s="14"/>
      <c r="E163" s="14"/>
      <c r="F163" s="14"/>
      <c r="G163" s="14"/>
      <c r="H163" s="56"/>
      <c r="I163" s="85"/>
      <c r="J163" s="56"/>
      <c r="K163" s="85"/>
      <c r="L163" s="5"/>
      <c r="M163" s="5"/>
    </row>
    <row r="164" spans="1:13" s="4" customFormat="1" ht="15.75">
      <c r="A164" s="68">
        <v>1</v>
      </c>
      <c r="B164" s="14"/>
      <c r="C164" s="99" t="s">
        <v>14</v>
      </c>
      <c r="D164" s="14"/>
      <c r="E164" s="14"/>
      <c r="F164" s="14"/>
      <c r="G164" s="14"/>
      <c r="H164" s="14"/>
      <c r="I164" s="896">
        <v>108784.01</v>
      </c>
      <c r="J164" s="117"/>
      <c r="K164" s="116">
        <v>89101.76</v>
      </c>
      <c r="L164" s="5"/>
      <c r="M164" s="903"/>
    </row>
    <row r="165" spans="1:13" s="4" customFormat="1" ht="15.75">
      <c r="A165" s="69">
        <f>+A164+1</f>
        <v>2</v>
      </c>
      <c r="B165" s="14"/>
      <c r="C165" s="100" t="s">
        <v>17</v>
      </c>
      <c r="D165" s="14"/>
      <c r="E165" s="14"/>
      <c r="F165" s="14"/>
      <c r="G165" s="14"/>
      <c r="H165" s="14"/>
      <c r="I165" s="122">
        <v>3255.57</v>
      </c>
      <c r="J165" s="117"/>
      <c r="K165" s="123">
        <v>4072.01</v>
      </c>
      <c r="L165" s="5"/>
      <c r="M165" s="902"/>
    </row>
    <row r="166" spans="1:13" s="4" customFormat="1" ht="15.75">
      <c r="A166" s="69">
        <f>+A165+1</f>
        <v>3</v>
      </c>
      <c r="B166" s="14"/>
      <c r="C166" s="9" t="s">
        <v>350</v>
      </c>
      <c r="D166" s="14"/>
      <c r="E166" s="14"/>
      <c r="F166" s="14"/>
      <c r="G166" s="14"/>
      <c r="H166" s="14"/>
      <c r="I166" s="897">
        <f>SUM(I164:I165)</f>
        <v>112039.58</v>
      </c>
      <c r="J166" s="117"/>
      <c r="K166" s="125">
        <f>SUM(K164:K165)</f>
        <v>93173.76999999999</v>
      </c>
      <c r="L166" s="5"/>
      <c r="M166" s="904"/>
    </row>
    <row r="167" spans="1:13" s="4" customFormat="1" ht="15.75">
      <c r="A167" s="68">
        <f>+A166+1</f>
        <v>4</v>
      </c>
      <c r="B167" s="14"/>
      <c r="C167" s="9" t="s">
        <v>57</v>
      </c>
      <c r="D167" s="14"/>
      <c r="E167" s="14"/>
      <c r="F167" s="14"/>
      <c r="G167" s="14"/>
      <c r="H167" s="14"/>
      <c r="I167" s="114"/>
      <c r="J167" s="117"/>
      <c r="K167" s="116"/>
      <c r="L167" s="5"/>
      <c r="M167" s="5"/>
    </row>
    <row r="168" spans="1:13" s="4" customFormat="1" ht="15.75">
      <c r="A168" s="68"/>
      <c r="B168" s="14"/>
      <c r="C168" s="14" t="s">
        <v>12</v>
      </c>
      <c r="D168" s="14"/>
      <c r="E168" s="14"/>
      <c r="F168" s="14"/>
      <c r="G168" s="14"/>
      <c r="H168" s="14"/>
      <c r="I168" s="119">
        <v>-358.5</v>
      </c>
      <c r="J168" s="117"/>
      <c r="K168" s="120">
        <v>500.33</v>
      </c>
      <c r="L168" s="5"/>
      <c r="M168" s="5"/>
    </row>
    <row r="169" spans="1:13" s="4" customFormat="1" ht="15.75">
      <c r="A169" s="68"/>
      <c r="B169" s="14"/>
      <c r="C169" s="14" t="s">
        <v>19</v>
      </c>
      <c r="D169" s="14"/>
      <c r="E169" s="14"/>
      <c r="F169" s="14"/>
      <c r="G169" s="14"/>
      <c r="H169" s="14"/>
      <c r="I169" s="119">
        <v>28207.44</v>
      </c>
      <c r="J169" s="117"/>
      <c r="K169" s="120">
        <v>23782.7</v>
      </c>
      <c r="L169" s="5"/>
      <c r="M169" s="5"/>
    </row>
    <row r="170" spans="1:13" s="4" customFormat="1" ht="15.75">
      <c r="A170" s="68"/>
      <c r="B170" s="14"/>
      <c r="C170" s="14" t="s">
        <v>20</v>
      </c>
      <c r="D170" s="14"/>
      <c r="E170" s="14"/>
      <c r="F170" s="14"/>
      <c r="G170" s="14"/>
      <c r="H170" s="14"/>
      <c r="I170" s="119">
        <v>26429.73</v>
      </c>
      <c r="J170" s="117"/>
      <c r="K170" s="120">
        <v>19203.68</v>
      </c>
      <c r="L170" s="5"/>
      <c r="M170" s="5"/>
    </row>
    <row r="171" spans="1:13" s="4" customFormat="1" ht="15.75">
      <c r="A171" s="68"/>
      <c r="B171" s="14"/>
      <c r="C171" s="100" t="s">
        <v>15</v>
      </c>
      <c r="D171" s="14"/>
      <c r="E171" s="14"/>
      <c r="F171" s="14"/>
      <c r="G171" s="14"/>
      <c r="H171" s="14"/>
      <c r="I171" s="119">
        <v>13571.79</v>
      </c>
      <c r="J171" s="117"/>
      <c r="K171" s="120">
        <v>12470.03</v>
      </c>
      <c r="L171" s="5"/>
      <c r="M171" s="5"/>
    </row>
    <row r="172" spans="1:13" s="4" customFormat="1" ht="15.75">
      <c r="A172" s="68"/>
      <c r="B172" s="14"/>
      <c r="C172" s="100" t="s">
        <v>18</v>
      </c>
      <c r="D172" s="14"/>
      <c r="E172" s="14"/>
      <c r="F172" s="14"/>
      <c r="G172" s="14"/>
      <c r="H172" s="14"/>
      <c r="I172" s="892">
        <v>35026.52</v>
      </c>
      <c r="J172" s="117"/>
      <c r="K172" s="893">
        <v>28715.19</v>
      </c>
      <c r="L172" s="5"/>
      <c r="M172" s="5"/>
    </row>
    <row r="173" spans="1:13" s="4" customFormat="1" ht="15.75">
      <c r="A173" s="68"/>
      <c r="B173" s="14"/>
      <c r="C173" s="14" t="s">
        <v>30</v>
      </c>
      <c r="D173" s="14"/>
      <c r="E173" s="14"/>
      <c r="F173" s="14"/>
      <c r="G173" s="14"/>
      <c r="H173" s="14"/>
      <c r="I173" s="897">
        <f>SUM(I168:I172)</f>
        <v>102876.97999999998</v>
      </c>
      <c r="J173" s="117"/>
      <c r="K173" s="125">
        <f>SUM(K168:K172)</f>
        <v>84671.93000000001</v>
      </c>
      <c r="L173" s="5"/>
      <c r="M173" s="5"/>
    </row>
    <row r="174" spans="1:13" s="4" customFormat="1" ht="15.75">
      <c r="A174" s="68">
        <f>+A167+1</f>
        <v>5</v>
      </c>
      <c r="B174" s="14"/>
      <c r="C174" s="100" t="s">
        <v>58</v>
      </c>
      <c r="D174" s="14"/>
      <c r="E174" s="14"/>
      <c r="F174" s="14"/>
      <c r="G174" s="14"/>
      <c r="H174" s="14"/>
      <c r="I174" s="119">
        <f>1295.97</f>
        <v>1295.97</v>
      </c>
      <c r="J174" s="117"/>
      <c r="K174" s="120">
        <v>655.54</v>
      </c>
      <c r="L174" s="5"/>
      <c r="M174" s="5"/>
    </row>
    <row r="175" spans="1:13" s="4" customFormat="1" ht="15.75">
      <c r="A175" s="68">
        <f>+A174+1</f>
        <v>6</v>
      </c>
      <c r="B175" s="14"/>
      <c r="C175" s="100" t="s">
        <v>59</v>
      </c>
      <c r="D175" s="14"/>
      <c r="E175" s="14"/>
      <c r="F175" s="14"/>
      <c r="G175" s="14"/>
      <c r="H175" s="14"/>
      <c r="I175" s="122">
        <f>46.91</f>
        <v>46.91</v>
      </c>
      <c r="J175" s="117"/>
      <c r="K175" s="123">
        <v>25.21</v>
      </c>
      <c r="L175" s="5"/>
      <c r="M175" s="5"/>
    </row>
    <row r="176" spans="1:13" s="4" customFormat="1" ht="15.75">
      <c r="A176" s="68">
        <f>+A175+1</f>
        <v>7</v>
      </c>
      <c r="B176" s="14"/>
      <c r="C176" s="99" t="s">
        <v>351</v>
      </c>
      <c r="D176" s="14"/>
      <c r="E176" s="14"/>
      <c r="F176" s="14"/>
      <c r="G176" s="14"/>
      <c r="H176" s="14"/>
      <c r="I176" s="114">
        <f>+I166-I173-I174-I175</f>
        <v>7819.72000000002</v>
      </c>
      <c r="J176" s="129"/>
      <c r="K176" s="116">
        <f>+K166-K173-K174-K175</f>
        <v>7821.089999999982</v>
      </c>
      <c r="L176" s="5"/>
      <c r="M176" s="5"/>
    </row>
    <row r="177" spans="1:13" s="4" customFormat="1" ht="15.75">
      <c r="A177" s="68">
        <f>+A176+1</f>
        <v>8</v>
      </c>
      <c r="B177" s="14"/>
      <c r="C177" s="100" t="s">
        <v>67</v>
      </c>
      <c r="D177" s="14"/>
      <c r="E177" s="14"/>
      <c r="F177" s="14"/>
      <c r="G177" s="14"/>
      <c r="H177" s="14"/>
      <c r="I177" s="122">
        <v>3667.41</v>
      </c>
      <c r="J177" s="117"/>
      <c r="K177" s="123">
        <v>2536.87</v>
      </c>
      <c r="L177" s="5"/>
      <c r="M177" s="5"/>
    </row>
    <row r="178" spans="1:13" s="4" customFormat="1" ht="15.75">
      <c r="A178" s="68">
        <f aca="true" t="shared" si="1" ref="A178:A184">+A177+1</f>
        <v>9</v>
      </c>
      <c r="B178" s="14"/>
      <c r="C178" s="99" t="s">
        <v>352</v>
      </c>
      <c r="D178" s="14"/>
      <c r="E178" s="14"/>
      <c r="F178" s="14"/>
      <c r="G178" s="14"/>
      <c r="H178" s="14"/>
      <c r="I178" s="114">
        <f>+I176-I177</f>
        <v>4152.31000000002</v>
      </c>
      <c r="J178" s="129"/>
      <c r="K178" s="116">
        <f>+K176-K177</f>
        <v>5284.219999999982</v>
      </c>
      <c r="L178" s="5"/>
      <c r="M178" s="5"/>
    </row>
    <row r="179" spans="1:13" s="4" customFormat="1" ht="15.75">
      <c r="A179" s="68">
        <f t="shared" si="1"/>
        <v>10</v>
      </c>
      <c r="B179" s="14"/>
      <c r="C179" s="100" t="s">
        <v>366</v>
      </c>
      <c r="D179" s="14"/>
      <c r="E179" s="14"/>
      <c r="F179" s="14"/>
      <c r="G179" s="14"/>
      <c r="H179" s="14"/>
      <c r="I179" s="122">
        <f>87.57</f>
        <v>87.57</v>
      </c>
      <c r="J179" s="117"/>
      <c r="K179" s="123">
        <v>0</v>
      </c>
      <c r="L179" s="5"/>
      <c r="M179" s="5"/>
    </row>
    <row r="180" spans="1:13" s="4" customFormat="1" ht="15.75">
      <c r="A180" s="68">
        <f t="shared" si="1"/>
        <v>11</v>
      </c>
      <c r="B180" s="14"/>
      <c r="C180" s="99" t="s">
        <v>353</v>
      </c>
      <c r="D180" s="14"/>
      <c r="E180" s="14"/>
      <c r="F180" s="14"/>
      <c r="G180" s="14"/>
      <c r="H180" s="14"/>
      <c r="I180" s="114">
        <f>+I178-I179</f>
        <v>4064.7400000000202</v>
      </c>
      <c r="J180" s="129"/>
      <c r="K180" s="116">
        <f>+K178-K179</f>
        <v>5284.219999999982</v>
      </c>
      <c r="L180" s="5"/>
      <c r="M180" s="5"/>
    </row>
    <row r="181" spans="1:13" s="4" customFormat="1" ht="15.75">
      <c r="A181" s="68">
        <f t="shared" si="1"/>
        <v>12</v>
      </c>
      <c r="B181" s="14"/>
      <c r="C181" s="100" t="s">
        <v>373</v>
      </c>
      <c r="D181" s="14"/>
      <c r="E181" s="14"/>
      <c r="F181" s="14"/>
      <c r="G181" s="14"/>
      <c r="H181" s="14"/>
      <c r="I181" s="119">
        <v>0.53</v>
      </c>
      <c r="J181" s="129"/>
      <c r="K181" s="120">
        <v>278.37</v>
      </c>
      <c r="L181" s="5"/>
      <c r="M181" s="5"/>
    </row>
    <row r="182" spans="1:13" s="4" customFormat="1" ht="15.75">
      <c r="A182" s="68">
        <f t="shared" si="1"/>
        <v>13</v>
      </c>
      <c r="B182" s="14"/>
      <c r="C182" s="100" t="s">
        <v>354</v>
      </c>
      <c r="D182" s="14"/>
      <c r="E182" s="14"/>
      <c r="F182" s="14"/>
      <c r="G182" s="14"/>
      <c r="H182" s="14"/>
      <c r="I182" s="122">
        <f>48.03</f>
        <v>48.03</v>
      </c>
      <c r="J182" s="129"/>
      <c r="K182" s="123">
        <v>146.94</v>
      </c>
      <c r="L182" s="5"/>
      <c r="M182" s="5"/>
    </row>
    <row r="183" spans="1:13" s="4" customFormat="1" ht="15.75">
      <c r="A183" s="68">
        <f t="shared" si="1"/>
        <v>14</v>
      </c>
      <c r="B183" s="14"/>
      <c r="C183" s="99" t="s">
        <v>355</v>
      </c>
      <c r="D183" s="14"/>
      <c r="E183" s="14"/>
      <c r="F183" s="14"/>
      <c r="G183" s="14"/>
      <c r="H183" s="14"/>
      <c r="I183" s="114">
        <f>+I180-I181+I182</f>
        <v>4112.24000000002</v>
      </c>
      <c r="J183" s="129"/>
      <c r="K183" s="116">
        <f>+K180-K181+K182</f>
        <v>5152.789999999982</v>
      </c>
      <c r="L183" s="5"/>
      <c r="M183" s="5"/>
    </row>
    <row r="184" spans="1:13" s="4" customFormat="1" ht="15.75">
      <c r="A184" s="68">
        <f t="shared" si="1"/>
        <v>15</v>
      </c>
      <c r="B184" s="14"/>
      <c r="C184" s="14" t="s">
        <v>356</v>
      </c>
      <c r="D184" s="14"/>
      <c r="E184" s="14"/>
      <c r="F184" s="14"/>
      <c r="G184" s="14"/>
      <c r="H184" s="14"/>
      <c r="I184" s="883"/>
      <c r="J184" s="117"/>
      <c r="K184" s="884"/>
      <c r="L184" s="5"/>
      <c r="M184" s="5"/>
    </row>
    <row r="185" spans="1:13" s="4" customFormat="1" ht="15.75">
      <c r="A185" s="68"/>
      <c r="B185" s="14"/>
      <c r="C185" s="14" t="s">
        <v>357</v>
      </c>
      <c r="D185" s="14"/>
      <c r="E185" s="14"/>
      <c r="F185" s="14"/>
      <c r="G185" s="14"/>
      <c r="H185" s="14"/>
      <c r="I185" s="885">
        <f>26.11</f>
        <v>26.11</v>
      </c>
      <c r="J185" s="117"/>
      <c r="K185" s="886">
        <v>225.58</v>
      </c>
      <c r="L185" s="5"/>
      <c r="M185" s="5"/>
    </row>
    <row r="186" spans="1:13" s="4" customFormat="1" ht="15.75">
      <c r="A186" s="68">
        <f>+A184+1</f>
        <v>16</v>
      </c>
      <c r="B186" s="14"/>
      <c r="C186" s="99" t="s">
        <v>358</v>
      </c>
      <c r="D186" s="14"/>
      <c r="E186" s="14"/>
      <c r="F186" s="14"/>
      <c r="G186" s="14"/>
      <c r="H186" s="9"/>
      <c r="I186" s="114">
        <f>+I183-I185</f>
        <v>4086.1300000000197</v>
      </c>
      <c r="J186" s="129"/>
      <c r="K186" s="116">
        <f>+K183-K185</f>
        <v>4927.209999999982</v>
      </c>
      <c r="L186" s="5"/>
      <c r="M186" s="5"/>
    </row>
    <row r="187" spans="1:13" s="4" customFormat="1" ht="15.75">
      <c r="A187" s="68">
        <f>+A186+1</f>
        <v>17</v>
      </c>
      <c r="B187" s="14"/>
      <c r="C187" s="14" t="s">
        <v>8</v>
      </c>
      <c r="D187" s="14"/>
      <c r="E187" s="14"/>
      <c r="F187" s="14"/>
      <c r="G187" s="14"/>
      <c r="H187" s="14"/>
      <c r="I187" s="119"/>
      <c r="J187" s="117"/>
      <c r="K187" s="120"/>
      <c r="L187" s="5"/>
      <c r="M187" s="5"/>
    </row>
    <row r="188" spans="1:13" s="4" customFormat="1" ht="15.75">
      <c r="A188" s="68"/>
      <c r="B188" s="14"/>
      <c r="C188" s="14" t="s">
        <v>291</v>
      </c>
      <c r="D188" s="14"/>
      <c r="E188" s="14"/>
      <c r="F188" s="14"/>
      <c r="G188" s="14"/>
      <c r="H188" s="14"/>
      <c r="I188" s="119">
        <v>7.27</v>
      </c>
      <c r="J188" s="117"/>
      <c r="K188" s="120">
        <v>9.37</v>
      </c>
      <c r="L188" s="5"/>
      <c r="M188" s="5"/>
    </row>
    <row r="189" spans="1:13" s="4" customFormat="1" ht="15.75">
      <c r="A189" s="68"/>
      <c r="B189" s="14"/>
      <c r="C189" s="14" t="s">
        <v>309</v>
      </c>
      <c r="D189" s="14"/>
      <c r="E189" s="14"/>
      <c r="F189" s="14"/>
      <c r="G189" s="14"/>
      <c r="H189" s="14"/>
      <c r="I189" s="119">
        <v>1163.9</v>
      </c>
      <c r="J189" s="117"/>
      <c r="K189" s="120">
        <v>967.34</v>
      </c>
      <c r="L189" s="5"/>
      <c r="M189" s="5"/>
    </row>
    <row r="190" spans="1:13" s="4" customFormat="1" ht="15.75">
      <c r="A190" s="68"/>
      <c r="B190" s="14"/>
      <c r="C190" s="14" t="s">
        <v>308</v>
      </c>
      <c r="D190" s="14"/>
      <c r="E190" s="14"/>
      <c r="F190" s="14"/>
      <c r="G190" s="14"/>
      <c r="H190" s="14"/>
      <c r="I190" s="122">
        <v>75.88</v>
      </c>
      <c r="J190" s="117"/>
      <c r="K190" s="123">
        <v>157.16</v>
      </c>
      <c r="L190" s="5"/>
      <c r="M190" s="5"/>
    </row>
    <row r="191" spans="1:13" s="4" customFormat="1" ht="15.75">
      <c r="A191" s="68">
        <f>+A187+1</f>
        <v>18</v>
      </c>
      <c r="B191" s="14"/>
      <c r="C191" s="9" t="s">
        <v>359</v>
      </c>
      <c r="D191" s="14"/>
      <c r="E191" s="14"/>
      <c r="F191" s="14"/>
      <c r="G191" s="14"/>
      <c r="H191" s="14"/>
      <c r="I191" s="887">
        <f>+I186-I189-I190-I188</f>
        <v>2839.0800000000195</v>
      </c>
      <c r="J191" s="117"/>
      <c r="K191" s="888">
        <f>+K186-K189-K190-K188</f>
        <v>3793.339999999982</v>
      </c>
      <c r="L191" s="5"/>
      <c r="M191" s="5"/>
    </row>
    <row r="192" spans="1:13" s="4" customFormat="1" ht="15.75">
      <c r="A192" s="68">
        <f>+A191+1</f>
        <v>19</v>
      </c>
      <c r="B192" s="14"/>
      <c r="C192" s="9" t="s">
        <v>360</v>
      </c>
      <c r="D192" s="14"/>
      <c r="E192" s="14"/>
      <c r="F192" s="14"/>
      <c r="G192" s="14"/>
      <c r="H192" s="14"/>
      <c r="I192" s="114">
        <v>58.78</v>
      </c>
      <c r="J192" s="117"/>
      <c r="K192" s="116">
        <v>144.68</v>
      </c>
      <c r="L192" s="5"/>
      <c r="M192" s="5"/>
    </row>
    <row r="193" spans="1:13" s="4" customFormat="1" ht="15.75">
      <c r="A193" s="68">
        <f>+A192+1</f>
        <v>20</v>
      </c>
      <c r="B193" s="14"/>
      <c r="C193" s="9" t="s">
        <v>361</v>
      </c>
      <c r="D193" s="14"/>
      <c r="E193" s="14"/>
      <c r="F193" s="14"/>
      <c r="G193" s="14"/>
      <c r="H193" s="14"/>
      <c r="I193" s="114">
        <v>-821.69</v>
      </c>
      <c r="J193" s="117"/>
      <c r="K193" s="116">
        <v>-1004.58</v>
      </c>
      <c r="L193" s="5"/>
      <c r="M193" s="5"/>
    </row>
    <row r="194" spans="1:13" s="4" customFormat="1" ht="15.75">
      <c r="A194" s="68"/>
      <c r="B194" s="14"/>
      <c r="C194" s="9" t="s">
        <v>362</v>
      </c>
      <c r="D194" s="14"/>
      <c r="E194" s="14"/>
      <c r="F194" s="14"/>
      <c r="G194" s="14"/>
      <c r="H194" s="14"/>
      <c r="I194" s="124">
        <f>SUM(I191:I193)</f>
        <v>2076.1700000000196</v>
      </c>
      <c r="J194" s="117"/>
      <c r="K194" s="125">
        <f>SUM(K191:K193)</f>
        <v>2933.439999999982</v>
      </c>
      <c r="L194" s="5"/>
      <c r="M194" s="5"/>
    </row>
    <row r="195" spans="1:13" s="4" customFormat="1" ht="15.75">
      <c r="A195" s="68"/>
      <c r="B195" s="14"/>
      <c r="C195" s="9"/>
      <c r="D195" s="14"/>
      <c r="E195" s="14"/>
      <c r="F195" s="14"/>
      <c r="G195" s="14"/>
      <c r="H195" s="14"/>
      <c r="I195" s="114"/>
      <c r="J195" s="117"/>
      <c r="K195" s="116"/>
      <c r="L195" s="5"/>
      <c r="M195" s="5"/>
    </row>
    <row r="196" spans="1:13" s="4" customFormat="1" ht="15.75">
      <c r="A196" s="69">
        <f>+A193+1</f>
        <v>21</v>
      </c>
      <c r="B196" s="14"/>
      <c r="C196" s="101" t="s">
        <v>24</v>
      </c>
      <c r="D196" s="14"/>
      <c r="E196" s="14"/>
      <c r="F196" s="14"/>
      <c r="G196" s="14"/>
      <c r="H196" s="14"/>
      <c r="I196" s="133">
        <v>1230.15</v>
      </c>
      <c r="J196" s="117"/>
      <c r="K196" s="134">
        <v>1230.15</v>
      </c>
      <c r="L196" s="5"/>
      <c r="M196" s="5"/>
    </row>
    <row r="197" spans="1:13" s="4" customFormat="1" ht="15.75">
      <c r="A197" s="68"/>
      <c r="B197" s="14"/>
      <c r="C197" s="19" t="s">
        <v>16</v>
      </c>
      <c r="D197" s="14"/>
      <c r="E197" s="14"/>
      <c r="F197" s="14"/>
      <c r="G197" s="14"/>
      <c r="H197" s="14"/>
      <c r="I197" s="135"/>
      <c r="J197" s="117"/>
      <c r="K197" s="136"/>
      <c r="L197" s="5"/>
      <c r="M197" s="5"/>
    </row>
    <row r="198" spans="1:13" s="4" customFormat="1" ht="15.75">
      <c r="A198" s="69">
        <f>+A196+1</f>
        <v>22</v>
      </c>
      <c r="B198" s="14"/>
      <c r="C198" s="101" t="s">
        <v>1</v>
      </c>
      <c r="D198" s="14"/>
      <c r="E198" s="14"/>
      <c r="F198" s="14"/>
      <c r="G198" s="14"/>
      <c r="H198" s="14"/>
      <c r="I198" s="133">
        <v>23744.45</v>
      </c>
      <c r="J198" s="117"/>
      <c r="K198" s="134">
        <v>24494.16</v>
      </c>
      <c r="L198" s="5"/>
      <c r="M198" s="5"/>
    </row>
    <row r="199" spans="1:13" s="4" customFormat="1" ht="15.75">
      <c r="A199" s="69">
        <f>+A198+1</f>
        <v>23</v>
      </c>
      <c r="B199" s="32"/>
      <c r="C199" s="70" t="s">
        <v>25</v>
      </c>
      <c r="D199" s="14"/>
      <c r="E199" s="14"/>
      <c r="F199" s="14"/>
      <c r="G199" s="14"/>
      <c r="H199" s="32"/>
      <c r="I199" s="889">
        <f>+I194/I196*10</f>
        <v>16.877372678128843</v>
      </c>
      <c r="J199" s="890"/>
      <c r="K199" s="894">
        <f>+K194/K196*10</f>
        <v>23.846197618176497</v>
      </c>
      <c r="L199" s="5"/>
      <c r="M199" s="5"/>
    </row>
    <row r="200" spans="1:13" s="4" customFormat="1" ht="15.75">
      <c r="A200" s="69"/>
      <c r="B200" s="32"/>
      <c r="C200" s="70" t="s">
        <v>26</v>
      </c>
      <c r="D200" s="14"/>
      <c r="E200" s="14"/>
      <c r="F200" s="14"/>
      <c r="G200" s="14"/>
      <c r="H200" s="32"/>
      <c r="I200" s="78"/>
      <c r="J200" s="32"/>
      <c r="K200" s="80"/>
      <c r="L200" s="5"/>
      <c r="M200" s="5"/>
    </row>
    <row r="201" spans="1:13" s="4" customFormat="1" ht="16.5" thickBot="1">
      <c r="A201" s="74"/>
      <c r="B201" s="75"/>
      <c r="C201" s="102"/>
      <c r="D201" s="62"/>
      <c r="E201" s="62"/>
      <c r="F201" s="62"/>
      <c r="G201" s="62"/>
      <c r="H201" s="75"/>
      <c r="I201" s="86"/>
      <c r="J201" s="75"/>
      <c r="K201" s="82"/>
      <c r="L201" s="5"/>
      <c r="M201" s="5"/>
    </row>
    <row r="202" spans="1:13" s="4" customFormat="1" ht="15.75">
      <c r="A202" s="173"/>
      <c r="B202" s="10"/>
      <c r="L202" s="5"/>
      <c r="M202" s="5"/>
    </row>
    <row r="203" spans="1:13" s="4" customFormat="1" ht="15.75">
      <c r="A203" s="4" t="s">
        <v>364</v>
      </c>
      <c r="B203" s="10"/>
      <c r="C203" s="10"/>
      <c r="E203" s="891"/>
      <c r="F203" s="891"/>
      <c r="G203" s="891"/>
      <c r="I203" s="14"/>
      <c r="J203" s="5"/>
      <c r="K203" s="5"/>
      <c r="L203" s="5"/>
      <c r="M203" s="5"/>
    </row>
    <row r="204" spans="2:13" s="4" customFormat="1" ht="15.75">
      <c r="B204" s="10"/>
      <c r="C204" s="10"/>
      <c r="E204" s="891"/>
      <c r="F204" s="891"/>
      <c r="G204" s="891"/>
      <c r="I204" s="14"/>
      <c r="J204" s="5"/>
      <c r="K204" s="5"/>
      <c r="L204" s="5"/>
      <c r="M204" s="5"/>
    </row>
    <row r="205" spans="1:13" s="4" customFormat="1" ht="15.75">
      <c r="A205" s="173">
        <v>1</v>
      </c>
      <c r="B205" s="10"/>
      <c r="C205" s="4" t="s">
        <v>367</v>
      </c>
      <c r="E205" s="891"/>
      <c r="F205" s="891"/>
      <c r="G205" s="891"/>
      <c r="I205" s="14"/>
      <c r="J205" s="5"/>
      <c r="K205" s="5"/>
      <c r="L205" s="5"/>
      <c r="M205" s="5"/>
    </row>
    <row r="206" spans="1:13" s="4" customFormat="1" ht="15.75">
      <c r="A206" s="173"/>
      <c r="B206" s="10"/>
      <c r="C206" s="4" t="s">
        <v>368</v>
      </c>
      <c r="E206" s="891"/>
      <c r="F206" s="891"/>
      <c r="G206" s="891"/>
      <c r="I206" s="14"/>
      <c r="J206" s="5"/>
      <c r="K206" s="5"/>
      <c r="L206" s="5"/>
      <c r="M206" s="5"/>
    </row>
    <row r="207" spans="1:13" s="4" customFormat="1" ht="15.75">
      <c r="A207" s="173"/>
      <c r="B207" s="10"/>
      <c r="C207" s="4" t="s">
        <v>369</v>
      </c>
      <c r="E207" s="891"/>
      <c r="F207" s="891"/>
      <c r="G207" s="891"/>
      <c r="I207" s="14"/>
      <c r="J207" s="5"/>
      <c r="K207" s="5"/>
      <c r="L207" s="5"/>
      <c r="M207" s="5"/>
    </row>
    <row r="208" spans="1:13" s="4" customFormat="1" ht="15.75">
      <c r="A208" s="173"/>
      <c r="B208" s="10"/>
      <c r="E208" s="891"/>
      <c r="F208" s="891"/>
      <c r="G208" s="891"/>
      <c r="I208" s="14"/>
      <c r="J208" s="5"/>
      <c r="K208" s="5"/>
      <c r="L208" s="5"/>
      <c r="M208" s="5"/>
    </row>
    <row r="209" spans="1:13" s="4" customFormat="1" ht="15.75">
      <c r="A209" s="173">
        <v>2</v>
      </c>
      <c r="B209" s="10"/>
      <c r="C209" s="4" t="s">
        <v>370</v>
      </c>
      <c r="E209" s="891"/>
      <c r="F209" s="891"/>
      <c r="G209" s="891"/>
      <c r="I209" s="14"/>
      <c r="J209" s="5"/>
      <c r="K209" s="5"/>
      <c r="L209" s="5"/>
      <c r="M209" s="5"/>
    </row>
    <row r="210" spans="2:13" s="4" customFormat="1" ht="15.75">
      <c r="B210" s="10"/>
      <c r="C210" s="10"/>
      <c r="G210" s="891"/>
      <c r="H210" s="891"/>
      <c r="I210" s="891"/>
      <c r="K210" s="14"/>
      <c r="L210" s="5"/>
      <c r="M210" s="5"/>
    </row>
    <row r="211" spans="1:10" s="4" customFormat="1" ht="15.75">
      <c r="A211" s="173"/>
      <c r="B211" s="10"/>
      <c r="G211" s="891"/>
      <c r="H211" s="891"/>
      <c r="I211" s="5" t="s">
        <v>77</v>
      </c>
      <c r="J211" s="5"/>
    </row>
    <row r="212" spans="1:11" s="4" customFormat="1" ht="15.75">
      <c r="A212" s="25"/>
      <c r="C212" s="181"/>
      <c r="D212" s="5"/>
      <c r="E212" s="5"/>
      <c r="F212" s="5"/>
      <c r="G212" s="5"/>
      <c r="H212" s="5"/>
      <c r="I212" s="113"/>
      <c r="J212" s="5"/>
      <c r="K212" s="111" t="s">
        <v>43</v>
      </c>
    </row>
    <row r="213" spans="1:9" s="4" customFormat="1" ht="15.75">
      <c r="A213" s="29" t="s">
        <v>365</v>
      </c>
      <c r="C213" s="181"/>
      <c r="D213" s="5"/>
      <c r="E213" s="5"/>
      <c r="F213" s="5"/>
      <c r="G213" s="5"/>
      <c r="H213" s="5"/>
      <c r="I213" s="5" t="s">
        <v>42</v>
      </c>
    </row>
    <row r="214" s="4" customFormat="1" ht="15.75">
      <c r="A214" s="17"/>
    </row>
    <row r="215" s="4" customFormat="1" ht="15.75">
      <c r="A215" s="17"/>
    </row>
    <row r="216" s="4" customFormat="1" ht="15.75">
      <c r="A216" s="17"/>
    </row>
    <row r="217" s="4" customFormat="1" ht="15.75">
      <c r="A217" s="17"/>
    </row>
    <row r="218" s="4" customFormat="1" ht="15.75">
      <c r="A218" s="17"/>
    </row>
    <row r="219" s="4" customFormat="1" ht="15.75">
      <c r="A219" s="17"/>
    </row>
    <row r="220" s="4" customFormat="1" ht="15.75">
      <c r="A220" s="17"/>
    </row>
    <row r="221" s="4" customFormat="1" ht="15.75">
      <c r="A221" s="17"/>
    </row>
    <row r="222" s="4" customFormat="1" ht="15.75">
      <c r="A222" s="17"/>
    </row>
    <row r="223" s="4" customFormat="1" ht="15.75">
      <c r="A223" s="17"/>
    </row>
    <row r="224" s="4" customFormat="1" ht="15.75">
      <c r="A224" s="17"/>
    </row>
    <row r="225" s="4" customFormat="1" ht="15.75">
      <c r="A225" s="17"/>
    </row>
    <row r="226" s="4" customFormat="1" ht="15.75">
      <c r="A226" s="17"/>
    </row>
    <row r="227" s="4" customFormat="1" ht="15.75">
      <c r="A227" s="17"/>
    </row>
    <row r="228" s="4" customFormat="1" ht="15.75">
      <c r="A228" s="17"/>
    </row>
    <row r="229" s="4" customFormat="1" ht="15.75">
      <c r="A229" s="17"/>
    </row>
    <row r="230" s="4" customFormat="1" ht="15.75">
      <c r="A230" s="17"/>
    </row>
    <row r="231" s="4" customFormat="1" ht="15.75">
      <c r="A231" s="17"/>
    </row>
    <row r="232" s="4" customFormat="1" ht="15.75">
      <c r="A232" s="17"/>
    </row>
    <row r="233" s="4" customFormat="1" ht="15.75">
      <c r="A233" s="17"/>
    </row>
    <row r="234" s="4" customFormat="1" ht="15.75">
      <c r="A234" s="17"/>
    </row>
    <row r="235" s="4" customFormat="1" ht="15.75">
      <c r="A235" s="17"/>
    </row>
    <row r="236" s="4" customFormat="1" ht="15.75">
      <c r="A236" s="17"/>
    </row>
    <row r="237" s="4" customFormat="1" ht="15.75">
      <c r="A237" s="17"/>
    </row>
    <row r="238" s="4" customFormat="1" ht="15.75">
      <c r="A238" s="17"/>
    </row>
    <row r="239" s="4" customFormat="1" ht="15.75">
      <c r="A239" s="17"/>
    </row>
    <row r="240" s="4" customFormat="1" ht="15.75">
      <c r="A240" s="17"/>
    </row>
    <row r="241" s="4" customFormat="1" ht="15.75">
      <c r="A241" s="17"/>
    </row>
    <row r="242" s="4" customFormat="1" ht="15.75">
      <c r="A242" s="17"/>
    </row>
    <row r="243" s="4" customFormat="1" ht="15.75">
      <c r="A243" s="17"/>
    </row>
    <row r="244" s="4" customFormat="1" ht="15.75">
      <c r="A244" s="17"/>
    </row>
    <row r="245" s="4" customFormat="1" ht="15.75">
      <c r="A245" s="17"/>
    </row>
    <row r="246" s="4" customFormat="1" ht="15.75">
      <c r="A246" s="17"/>
    </row>
    <row r="247" s="4" customFormat="1" ht="15.75">
      <c r="A247" s="17"/>
    </row>
    <row r="248" s="4" customFormat="1" ht="15.75">
      <c r="A248" s="17"/>
    </row>
    <row r="249" s="4" customFormat="1" ht="15.75">
      <c r="A249" s="17"/>
    </row>
    <row r="250" s="4" customFormat="1" ht="15.75">
      <c r="A250" s="17"/>
    </row>
    <row r="251" s="4" customFormat="1" ht="15.75">
      <c r="A251" s="17"/>
    </row>
    <row r="252" s="4" customFormat="1" ht="15.75">
      <c r="A252" s="17"/>
    </row>
    <row r="253" s="4" customFormat="1" ht="15.75">
      <c r="A253" s="17"/>
    </row>
    <row r="254" s="4" customFormat="1" ht="15.75">
      <c r="A254" s="17"/>
    </row>
    <row r="255" s="4" customFormat="1" ht="15.75">
      <c r="A255" s="17"/>
    </row>
    <row r="256" s="4" customFormat="1" ht="15.75">
      <c r="A256" s="17"/>
    </row>
    <row r="257" s="4" customFormat="1" ht="15.75">
      <c r="A257" s="17"/>
    </row>
    <row r="258" s="4" customFormat="1" ht="15.75">
      <c r="A258" s="17"/>
    </row>
    <row r="259" s="4" customFormat="1" ht="15.75">
      <c r="A259" s="17"/>
    </row>
    <row r="260" s="4" customFormat="1" ht="15.75">
      <c r="A260" s="17"/>
    </row>
    <row r="261" s="4" customFormat="1" ht="15.75">
      <c r="A261" s="17"/>
    </row>
    <row r="262" s="4" customFormat="1" ht="15.75">
      <c r="A262" s="17"/>
    </row>
    <row r="263" s="4" customFormat="1" ht="15.75">
      <c r="A263" s="17"/>
    </row>
    <row r="264" s="4" customFormat="1" ht="15.75">
      <c r="A264" s="17"/>
    </row>
    <row r="265" s="4" customFormat="1" ht="15.75">
      <c r="A265" s="17"/>
    </row>
    <row r="266" s="4" customFormat="1" ht="15.75">
      <c r="A266" s="17"/>
    </row>
    <row r="267" s="4" customFormat="1" ht="15.75">
      <c r="A267" s="17"/>
    </row>
    <row r="268" s="4" customFormat="1" ht="15.75">
      <c r="A268" s="17"/>
    </row>
    <row r="269" s="4" customFormat="1" ht="15.75">
      <c r="A269" s="17"/>
    </row>
    <row r="270" s="4" customFormat="1" ht="15.75">
      <c r="A270" s="17"/>
    </row>
    <row r="271" s="4" customFormat="1" ht="15.75">
      <c r="A271" s="17"/>
    </row>
    <row r="272" s="4" customFormat="1" ht="15.75">
      <c r="A272" s="17"/>
    </row>
    <row r="273" s="4" customFormat="1" ht="15.75">
      <c r="A273" s="17"/>
    </row>
    <row r="274" s="4" customFormat="1" ht="15.75">
      <c r="A274" s="17"/>
    </row>
    <row r="275" s="4" customFormat="1" ht="15.75">
      <c r="A275" s="17"/>
    </row>
    <row r="276" s="4" customFormat="1" ht="15.75">
      <c r="A276" s="17"/>
    </row>
    <row r="277" s="4" customFormat="1" ht="15.75">
      <c r="A277" s="17"/>
    </row>
    <row r="278" s="4" customFormat="1" ht="15.75">
      <c r="A278" s="17"/>
    </row>
    <row r="279" s="4" customFormat="1" ht="15.75">
      <c r="A279" s="17"/>
    </row>
    <row r="280" s="4" customFormat="1" ht="15.75">
      <c r="A280" s="17"/>
    </row>
    <row r="281" s="4" customFormat="1" ht="15.75">
      <c r="A281" s="17"/>
    </row>
    <row r="282" s="4" customFormat="1" ht="15.75">
      <c r="A282" s="17"/>
    </row>
    <row r="283" s="4" customFormat="1" ht="15.75">
      <c r="A283" s="17"/>
    </row>
    <row r="284" s="4" customFormat="1" ht="15.75">
      <c r="A284" s="17"/>
    </row>
    <row r="285" s="4" customFormat="1" ht="15.75">
      <c r="A285" s="17"/>
    </row>
    <row r="286" s="4" customFormat="1" ht="15.75">
      <c r="A286" s="17"/>
    </row>
    <row r="287" s="4" customFormat="1" ht="15.75">
      <c r="A287" s="17"/>
    </row>
    <row r="288" s="4" customFormat="1" ht="15.75">
      <c r="A288" s="17"/>
    </row>
    <row r="289" s="4" customFormat="1" ht="15.75">
      <c r="A289" s="17"/>
    </row>
    <row r="290" s="4" customFormat="1" ht="15.75">
      <c r="A290" s="17"/>
    </row>
    <row r="291" s="4" customFormat="1" ht="15.75">
      <c r="A291" s="17"/>
    </row>
    <row r="292" s="4" customFormat="1" ht="15.75">
      <c r="A292" s="17"/>
    </row>
    <row r="293" s="4" customFormat="1" ht="15.75">
      <c r="A293" s="17"/>
    </row>
    <row r="294" s="4" customFormat="1" ht="15.75">
      <c r="A294" s="17"/>
    </row>
    <row r="295" s="4" customFormat="1" ht="15.75">
      <c r="A295" s="17"/>
    </row>
    <row r="296" s="4" customFormat="1" ht="15.75">
      <c r="A296" s="17"/>
    </row>
    <row r="297" s="4" customFormat="1" ht="15.75">
      <c r="A297" s="17"/>
    </row>
    <row r="298" s="4" customFormat="1" ht="15.75">
      <c r="A298" s="17"/>
    </row>
    <row r="299" s="4" customFormat="1" ht="15.75">
      <c r="A299" s="17"/>
    </row>
    <row r="300" s="4" customFormat="1" ht="15.75">
      <c r="A300" s="17"/>
    </row>
    <row r="301" s="4" customFormat="1" ht="15.75">
      <c r="A301" s="17"/>
    </row>
    <row r="302" s="4" customFormat="1" ht="15.75">
      <c r="A302" s="17"/>
    </row>
    <row r="303" s="4" customFormat="1" ht="15.75">
      <c r="A303" s="17"/>
    </row>
    <row r="304" s="4" customFormat="1" ht="15.75">
      <c r="A304" s="17"/>
    </row>
    <row r="305" s="4" customFormat="1" ht="15.75">
      <c r="A305" s="17"/>
    </row>
    <row r="306" s="4" customFormat="1" ht="15.75">
      <c r="A306" s="17"/>
    </row>
    <row r="307" s="4" customFormat="1" ht="15.75">
      <c r="A307" s="17"/>
    </row>
    <row r="308" s="4" customFormat="1" ht="15.75">
      <c r="A308" s="17"/>
    </row>
    <row r="309" s="4" customFormat="1" ht="15.75">
      <c r="A309" s="17"/>
    </row>
    <row r="310" s="4" customFormat="1" ht="15.75">
      <c r="A310" s="17"/>
    </row>
    <row r="311" s="4" customFormat="1" ht="15.75">
      <c r="A311" s="17"/>
    </row>
    <row r="312" s="4" customFormat="1" ht="15.75">
      <c r="A312" s="17"/>
    </row>
    <row r="313" s="4" customFormat="1" ht="15.75">
      <c r="A313" s="17"/>
    </row>
    <row r="314" s="4" customFormat="1" ht="15.75">
      <c r="A314" s="17"/>
    </row>
    <row r="315" s="4" customFormat="1" ht="15.75">
      <c r="A315" s="17"/>
    </row>
    <row r="316" s="4" customFormat="1" ht="15.75">
      <c r="A316" s="17"/>
    </row>
    <row r="317" s="4" customFormat="1" ht="15.75">
      <c r="A317" s="17"/>
    </row>
    <row r="318" s="4" customFormat="1" ht="15.75">
      <c r="A318" s="17"/>
    </row>
    <row r="319" s="4" customFormat="1" ht="15.75">
      <c r="A319" s="17"/>
    </row>
    <row r="320" s="4" customFormat="1" ht="15.75">
      <c r="A320" s="17"/>
    </row>
    <row r="321" s="4" customFormat="1" ht="15.75">
      <c r="A321" s="17"/>
    </row>
    <row r="322" s="4" customFormat="1" ht="15.75">
      <c r="A322" s="17"/>
    </row>
    <row r="323" s="4" customFormat="1" ht="15.75">
      <c r="A323" s="17"/>
    </row>
    <row r="324" s="4" customFormat="1" ht="15.75">
      <c r="A324" s="17"/>
    </row>
    <row r="325" s="4" customFormat="1" ht="15.75">
      <c r="A325" s="17"/>
    </row>
    <row r="326" s="4" customFormat="1" ht="15.75">
      <c r="A326" s="17"/>
    </row>
    <row r="327" s="4" customFormat="1" ht="15.75">
      <c r="A327" s="17"/>
    </row>
    <row r="328" s="4" customFormat="1" ht="15.75">
      <c r="A328" s="17"/>
    </row>
    <row r="329" s="4" customFormat="1" ht="15.75">
      <c r="A329" s="17"/>
    </row>
    <row r="330" s="4" customFormat="1" ht="15.75">
      <c r="A330" s="17"/>
    </row>
    <row r="331" s="4" customFormat="1" ht="15.75">
      <c r="A331" s="17"/>
    </row>
    <row r="332" s="4" customFormat="1" ht="15.75">
      <c r="A332" s="17"/>
    </row>
    <row r="333" s="4" customFormat="1" ht="15.75">
      <c r="A333" s="17"/>
    </row>
    <row r="334" s="4" customFormat="1" ht="15.75">
      <c r="A334" s="17"/>
    </row>
    <row r="335" s="4" customFormat="1" ht="15.75">
      <c r="A335" s="17"/>
    </row>
    <row r="336" s="4" customFormat="1" ht="15.75">
      <c r="A336" s="17"/>
    </row>
    <row r="337" s="4" customFormat="1" ht="15.75">
      <c r="A337" s="17"/>
    </row>
    <row r="338" s="4" customFormat="1" ht="15.75">
      <c r="A338" s="17"/>
    </row>
    <row r="339" s="4" customFormat="1" ht="15.75">
      <c r="A339" s="17"/>
    </row>
    <row r="340" s="4" customFormat="1" ht="15.75">
      <c r="A340" s="17"/>
    </row>
    <row r="341" s="4" customFormat="1" ht="15.75">
      <c r="A341" s="17"/>
    </row>
    <row r="342" s="4" customFormat="1" ht="15.75">
      <c r="A342" s="17"/>
    </row>
    <row r="343" s="4" customFormat="1" ht="15.75">
      <c r="A343" s="17"/>
    </row>
    <row r="344" s="4" customFormat="1" ht="15.75">
      <c r="A344" s="17"/>
    </row>
    <row r="345" s="4" customFormat="1" ht="15.75">
      <c r="A345" s="17"/>
    </row>
    <row r="346" s="4" customFormat="1" ht="15.75">
      <c r="A346" s="17"/>
    </row>
    <row r="347" s="4" customFormat="1" ht="15.75">
      <c r="A347" s="17"/>
    </row>
    <row r="348" s="4" customFormat="1" ht="15.75">
      <c r="A348" s="17"/>
    </row>
    <row r="349" s="4" customFormat="1" ht="15.75">
      <c r="A349" s="17"/>
    </row>
    <row r="350" s="4" customFormat="1" ht="15.75">
      <c r="A350" s="17"/>
    </row>
    <row r="351" s="4" customFormat="1" ht="15.75">
      <c r="A351" s="17"/>
    </row>
    <row r="352" s="4" customFormat="1" ht="15.75">
      <c r="A352" s="17"/>
    </row>
    <row r="353" s="4" customFormat="1" ht="15.75">
      <c r="A353" s="17"/>
    </row>
    <row r="354" s="4" customFormat="1" ht="15.75">
      <c r="A354" s="17"/>
    </row>
    <row r="355" s="4" customFormat="1" ht="15.75">
      <c r="A355" s="17"/>
    </row>
    <row r="356" s="4" customFormat="1" ht="15.75">
      <c r="A356" s="17"/>
    </row>
    <row r="357" s="4" customFormat="1" ht="15.75">
      <c r="A357" s="17"/>
    </row>
    <row r="358" s="4" customFormat="1" ht="15.75">
      <c r="A358" s="17"/>
    </row>
    <row r="359" s="4" customFormat="1" ht="15.75">
      <c r="A359" s="17"/>
    </row>
    <row r="360" s="4" customFormat="1" ht="15.75">
      <c r="A360" s="17"/>
    </row>
    <row r="361" s="4" customFormat="1" ht="15.75">
      <c r="A361" s="17"/>
    </row>
    <row r="362" s="4" customFormat="1" ht="15.75">
      <c r="A362" s="17"/>
    </row>
    <row r="363" s="4" customFormat="1" ht="15.75">
      <c r="A363" s="17"/>
    </row>
    <row r="364" s="4" customFormat="1" ht="15.75">
      <c r="A364" s="17"/>
    </row>
    <row r="365" s="4" customFormat="1" ht="15.75">
      <c r="A365" s="17"/>
    </row>
    <row r="366" s="4" customFormat="1" ht="15.75">
      <c r="A366" s="17"/>
    </row>
    <row r="367" s="4" customFormat="1" ht="15.75">
      <c r="A367" s="17"/>
    </row>
    <row r="368" s="4" customFormat="1" ht="15.75">
      <c r="A368" s="17"/>
    </row>
    <row r="369" s="4" customFormat="1" ht="15.75">
      <c r="A369" s="17"/>
    </row>
    <row r="370" s="4" customFormat="1" ht="15.75">
      <c r="A370" s="17"/>
    </row>
    <row r="371" s="4" customFormat="1" ht="15.75">
      <c r="A371" s="17"/>
    </row>
    <row r="372" s="4" customFormat="1" ht="15.75">
      <c r="A372" s="17"/>
    </row>
    <row r="373" s="4" customFormat="1" ht="15.75">
      <c r="A373" s="17"/>
    </row>
    <row r="374" s="4" customFormat="1" ht="15.75">
      <c r="A374" s="17"/>
    </row>
    <row r="375" s="4" customFormat="1" ht="15.75">
      <c r="A375" s="17"/>
    </row>
    <row r="376" s="4" customFormat="1" ht="15.75">
      <c r="A376" s="17"/>
    </row>
    <row r="377" s="4" customFormat="1" ht="15.75">
      <c r="A377" s="17"/>
    </row>
    <row r="378" s="4" customFormat="1" ht="15.75">
      <c r="A378" s="17"/>
    </row>
    <row r="379" s="4" customFormat="1" ht="15.75">
      <c r="A379" s="17"/>
    </row>
    <row r="380" s="4" customFormat="1" ht="15.75">
      <c r="A380" s="17"/>
    </row>
    <row r="381" s="4" customFormat="1" ht="15.75">
      <c r="A381" s="17"/>
    </row>
    <row r="382" s="4" customFormat="1" ht="15.75">
      <c r="A382" s="17"/>
    </row>
    <row r="383" s="4" customFormat="1" ht="15.75">
      <c r="A383" s="17"/>
    </row>
    <row r="384" s="4" customFormat="1" ht="15.75">
      <c r="A384" s="17"/>
    </row>
    <row r="385" s="4" customFormat="1" ht="15.75">
      <c r="A385" s="17"/>
    </row>
    <row r="386" s="4" customFormat="1" ht="15.75">
      <c r="A386" s="17"/>
    </row>
    <row r="387" s="4" customFormat="1" ht="15.75">
      <c r="A387" s="17"/>
    </row>
    <row r="388" s="4" customFormat="1" ht="15.75">
      <c r="A388" s="17"/>
    </row>
    <row r="389" s="4" customFormat="1" ht="15.75">
      <c r="A389" s="17"/>
    </row>
    <row r="390" s="4" customFormat="1" ht="15.75">
      <c r="A390" s="17"/>
    </row>
    <row r="391" s="4" customFormat="1" ht="15.75">
      <c r="A391" s="17"/>
    </row>
    <row r="392" s="4" customFormat="1" ht="15.75">
      <c r="A392" s="17"/>
    </row>
    <row r="393" s="4" customFormat="1" ht="15.75">
      <c r="A393" s="17"/>
    </row>
    <row r="394" s="4" customFormat="1" ht="15.75">
      <c r="A394" s="17"/>
    </row>
    <row r="395" s="4" customFormat="1" ht="15.75">
      <c r="A395" s="17"/>
    </row>
    <row r="396" s="4" customFormat="1" ht="15.75">
      <c r="A396" s="17"/>
    </row>
    <row r="397" s="4" customFormat="1" ht="15.75">
      <c r="A397" s="17"/>
    </row>
    <row r="398" s="4" customFormat="1" ht="15.75">
      <c r="A398" s="17"/>
    </row>
    <row r="399" s="4" customFormat="1" ht="15.75">
      <c r="A399" s="17"/>
    </row>
    <row r="400" s="4" customFormat="1" ht="15.75">
      <c r="A400" s="17"/>
    </row>
    <row r="401" s="4" customFormat="1" ht="15.75">
      <c r="A401" s="17"/>
    </row>
    <row r="402" s="4" customFormat="1" ht="15.75">
      <c r="A402" s="17"/>
    </row>
    <row r="403" s="4" customFormat="1" ht="15.75">
      <c r="A403" s="17"/>
    </row>
    <row r="404" s="4" customFormat="1" ht="15.75">
      <c r="A404" s="17"/>
    </row>
    <row r="405" s="4" customFormat="1" ht="15.75">
      <c r="A405" s="17"/>
    </row>
    <row r="406" s="4" customFormat="1" ht="15.75">
      <c r="A406" s="17"/>
    </row>
    <row r="407" s="4" customFormat="1" ht="15.75">
      <c r="A407" s="17"/>
    </row>
    <row r="408" s="4" customFormat="1" ht="15.75">
      <c r="A408" s="17"/>
    </row>
    <row r="409" s="4" customFormat="1" ht="15.75">
      <c r="A409" s="17"/>
    </row>
    <row r="410" s="4" customFormat="1" ht="15.75">
      <c r="A410" s="17"/>
    </row>
    <row r="411" s="4" customFormat="1" ht="15.75">
      <c r="A411" s="17"/>
    </row>
    <row r="412" s="4" customFormat="1" ht="15.75">
      <c r="A412" s="17"/>
    </row>
    <row r="413" s="4" customFormat="1" ht="15.75">
      <c r="A413" s="17"/>
    </row>
    <row r="414" s="4" customFormat="1" ht="15.75">
      <c r="A414" s="17"/>
    </row>
    <row r="415" s="4" customFormat="1" ht="15.75">
      <c r="A415" s="17"/>
    </row>
    <row r="416" s="4" customFormat="1" ht="15.75">
      <c r="A416" s="17"/>
    </row>
    <row r="417" s="4" customFormat="1" ht="15.75">
      <c r="A417" s="17"/>
    </row>
    <row r="418" s="4" customFormat="1" ht="15.75">
      <c r="A418" s="17"/>
    </row>
    <row r="419" s="4" customFormat="1" ht="15.75">
      <c r="A419" s="17"/>
    </row>
    <row r="420" s="4" customFormat="1" ht="15.75">
      <c r="A420" s="17"/>
    </row>
    <row r="421" s="4" customFormat="1" ht="15.75">
      <c r="A421" s="17"/>
    </row>
    <row r="422" s="4" customFormat="1" ht="15.75">
      <c r="A422" s="17"/>
    </row>
    <row r="423" s="4" customFormat="1" ht="15.75">
      <c r="A423" s="17"/>
    </row>
    <row r="424" s="4" customFormat="1" ht="15.75">
      <c r="A424" s="17"/>
    </row>
    <row r="425" s="4" customFormat="1" ht="15.75">
      <c r="A425" s="17"/>
    </row>
    <row r="426" s="4" customFormat="1" ht="15.75">
      <c r="A426" s="17"/>
    </row>
    <row r="427" s="4" customFormat="1" ht="15.75">
      <c r="A427" s="17"/>
    </row>
    <row r="428" s="4" customFormat="1" ht="15.75">
      <c r="A428" s="17"/>
    </row>
    <row r="429" s="4" customFormat="1" ht="15.75">
      <c r="A429" s="17"/>
    </row>
    <row r="430" s="4" customFormat="1" ht="15.75">
      <c r="A430" s="17"/>
    </row>
    <row r="431" s="4" customFormat="1" ht="15.75">
      <c r="A431" s="17"/>
    </row>
    <row r="432" s="4" customFormat="1" ht="15.75">
      <c r="A432" s="17"/>
    </row>
    <row r="433" s="4" customFormat="1" ht="15.75">
      <c r="A433" s="17"/>
    </row>
    <row r="434" s="4" customFormat="1" ht="15.75">
      <c r="A434" s="17"/>
    </row>
    <row r="435" s="4" customFormat="1" ht="15.75">
      <c r="A435" s="17"/>
    </row>
    <row r="436" s="4" customFormat="1" ht="15.75">
      <c r="A436" s="17"/>
    </row>
    <row r="437" s="4" customFormat="1" ht="15.75">
      <c r="A437" s="17"/>
    </row>
    <row r="438" s="4" customFormat="1" ht="15.75">
      <c r="A438" s="17"/>
    </row>
    <row r="439" s="4" customFormat="1" ht="15.75">
      <c r="A439" s="17"/>
    </row>
    <row r="440" s="4" customFormat="1" ht="15.75">
      <c r="A440" s="17"/>
    </row>
    <row r="441" s="4" customFormat="1" ht="15.75">
      <c r="A441" s="17"/>
    </row>
    <row r="442" s="4" customFormat="1" ht="15.75">
      <c r="A442" s="17"/>
    </row>
    <row r="443" s="4" customFormat="1" ht="15.75">
      <c r="A443" s="17"/>
    </row>
    <row r="444" s="4" customFormat="1" ht="15.75">
      <c r="A444" s="17"/>
    </row>
    <row r="445" s="4" customFormat="1" ht="15.75">
      <c r="A445" s="17"/>
    </row>
    <row r="446" s="4" customFormat="1" ht="15.75">
      <c r="A446" s="17"/>
    </row>
    <row r="447" s="4" customFormat="1" ht="15.75">
      <c r="A447" s="17"/>
    </row>
    <row r="448" s="4" customFormat="1" ht="15.75">
      <c r="A448" s="17"/>
    </row>
    <row r="449" s="4" customFormat="1" ht="15.75">
      <c r="A449" s="17"/>
    </row>
    <row r="450" s="4" customFormat="1" ht="15.75">
      <c r="A450" s="17"/>
    </row>
    <row r="451" s="4" customFormat="1" ht="15.75">
      <c r="A451" s="17"/>
    </row>
    <row r="452" s="4" customFormat="1" ht="15.75">
      <c r="A452" s="17"/>
    </row>
    <row r="453" s="4" customFormat="1" ht="15.75">
      <c r="A453" s="17"/>
    </row>
    <row r="454" s="4" customFormat="1" ht="15.75">
      <c r="A454" s="17"/>
    </row>
    <row r="455" s="4" customFormat="1" ht="15.75">
      <c r="A455" s="17"/>
    </row>
    <row r="456" s="4" customFormat="1" ht="15.75">
      <c r="A456" s="17"/>
    </row>
    <row r="457" s="4" customFormat="1" ht="15.75">
      <c r="A457" s="17"/>
    </row>
    <row r="458" s="4" customFormat="1" ht="15.75">
      <c r="A458" s="17"/>
    </row>
    <row r="459" s="4" customFormat="1" ht="15.75">
      <c r="A459" s="17"/>
    </row>
    <row r="460" s="4" customFormat="1" ht="15.75">
      <c r="A460" s="17"/>
    </row>
    <row r="461" s="4" customFormat="1" ht="15.75">
      <c r="A461" s="17"/>
    </row>
    <row r="462" s="4" customFormat="1" ht="15.75">
      <c r="A462" s="17"/>
    </row>
    <row r="463" s="4" customFormat="1" ht="15.75">
      <c r="A463" s="17"/>
    </row>
    <row r="464" s="4" customFormat="1" ht="15.75">
      <c r="A464" s="17"/>
    </row>
    <row r="465" s="4" customFormat="1" ht="15.75">
      <c r="A465" s="17"/>
    </row>
    <row r="466" s="4" customFormat="1" ht="15.75">
      <c r="A466" s="17"/>
    </row>
    <row r="467" s="4" customFormat="1" ht="15.75">
      <c r="A467" s="17"/>
    </row>
    <row r="468" s="4" customFormat="1" ht="15.75">
      <c r="A468" s="17"/>
    </row>
    <row r="469" s="4" customFormat="1" ht="15.75">
      <c r="A469" s="17"/>
    </row>
    <row r="470" s="4" customFormat="1" ht="15.75">
      <c r="A470" s="17"/>
    </row>
    <row r="471" s="4" customFormat="1" ht="15.75">
      <c r="A471" s="17"/>
    </row>
    <row r="472" s="4" customFormat="1" ht="15.75">
      <c r="A472" s="17"/>
    </row>
    <row r="473" s="4" customFormat="1" ht="15.75">
      <c r="A473" s="17"/>
    </row>
    <row r="474" s="4" customFormat="1" ht="15.75">
      <c r="A474" s="17"/>
    </row>
    <row r="475" s="4" customFormat="1" ht="15.75">
      <c r="A475" s="17"/>
    </row>
    <row r="476" s="4" customFormat="1" ht="15.75">
      <c r="A476" s="17"/>
    </row>
    <row r="477" s="4" customFormat="1" ht="15.75">
      <c r="A477" s="17"/>
    </row>
    <row r="478" s="4" customFormat="1" ht="15.75">
      <c r="A478" s="17"/>
    </row>
    <row r="479" s="4" customFormat="1" ht="15.75">
      <c r="A479" s="17"/>
    </row>
    <row r="480" s="4" customFormat="1" ht="15.75">
      <c r="A480" s="17"/>
    </row>
    <row r="481" s="4" customFormat="1" ht="15.75">
      <c r="A481" s="17"/>
    </row>
    <row r="482" s="4" customFormat="1" ht="15.75">
      <c r="A482" s="17"/>
    </row>
    <row r="483" s="4" customFormat="1" ht="15.75">
      <c r="A483" s="17"/>
    </row>
    <row r="484" s="4" customFormat="1" ht="15.75">
      <c r="A484" s="17"/>
    </row>
    <row r="485" s="4" customFormat="1" ht="15.75">
      <c r="A485" s="17"/>
    </row>
    <row r="486" s="4" customFormat="1" ht="15.75">
      <c r="A486" s="17"/>
    </row>
    <row r="487" s="4" customFormat="1" ht="15.75">
      <c r="A487" s="17"/>
    </row>
    <row r="488" s="4" customFormat="1" ht="15.75">
      <c r="A488" s="17"/>
    </row>
    <row r="489" s="4" customFormat="1" ht="15.75">
      <c r="A489" s="17"/>
    </row>
    <row r="490" s="4" customFormat="1" ht="15.75">
      <c r="A490" s="17"/>
    </row>
    <row r="491" s="4" customFormat="1" ht="15.75">
      <c r="A491" s="17"/>
    </row>
    <row r="492" s="4" customFormat="1" ht="15.75">
      <c r="A492" s="17"/>
    </row>
    <row r="493" s="4" customFormat="1" ht="15.75">
      <c r="A493" s="17"/>
    </row>
    <row r="494" s="4" customFormat="1" ht="15.75">
      <c r="A494" s="17"/>
    </row>
    <row r="495" s="4" customFormat="1" ht="15.75">
      <c r="A495" s="17"/>
    </row>
    <row r="496" s="4" customFormat="1" ht="15.75">
      <c r="A496" s="17"/>
    </row>
    <row r="497" s="4" customFormat="1" ht="15.75">
      <c r="A497" s="17"/>
    </row>
    <row r="498" s="4" customFormat="1" ht="15.75">
      <c r="A498" s="17"/>
    </row>
    <row r="499" s="4" customFormat="1" ht="15.75">
      <c r="A499" s="17"/>
    </row>
    <row r="500" s="4" customFormat="1" ht="15.75">
      <c r="A500" s="17"/>
    </row>
    <row r="501" s="4" customFormat="1" ht="15.75">
      <c r="A501" s="17"/>
    </row>
    <row r="502" s="4" customFormat="1" ht="15.75">
      <c r="A502" s="17"/>
    </row>
    <row r="503" s="4" customFormat="1" ht="15.75">
      <c r="A503" s="17"/>
    </row>
    <row r="504" s="4" customFormat="1" ht="15.75">
      <c r="A504" s="17"/>
    </row>
    <row r="505" s="4" customFormat="1" ht="15.75">
      <c r="A505" s="17"/>
    </row>
    <row r="506" s="4" customFormat="1" ht="15.75">
      <c r="A506" s="17"/>
    </row>
    <row r="507" s="4" customFormat="1" ht="15.75">
      <c r="A507" s="17"/>
    </row>
    <row r="508" s="4" customFormat="1" ht="15.75">
      <c r="A508" s="17"/>
    </row>
    <row r="509" s="4" customFormat="1" ht="15.75">
      <c r="A509" s="17"/>
    </row>
    <row r="510" s="4" customFormat="1" ht="15.75">
      <c r="A510" s="17"/>
    </row>
    <row r="511" s="4" customFormat="1" ht="15.75">
      <c r="A511" s="17"/>
    </row>
    <row r="512" s="4" customFormat="1" ht="15.75">
      <c r="A512" s="17"/>
    </row>
    <row r="513" s="4" customFormat="1" ht="15.75">
      <c r="A513" s="17"/>
    </row>
    <row r="514" s="4" customFormat="1" ht="15.75">
      <c r="A514" s="17"/>
    </row>
    <row r="515" s="4" customFormat="1" ht="15.75">
      <c r="A515" s="17"/>
    </row>
    <row r="516" s="4" customFormat="1" ht="15.75">
      <c r="A516" s="17"/>
    </row>
    <row r="517" s="4" customFormat="1" ht="15.75">
      <c r="A517" s="17"/>
    </row>
    <row r="518" s="4" customFormat="1" ht="15.75">
      <c r="A518" s="17"/>
    </row>
    <row r="519" s="4" customFormat="1" ht="15.75">
      <c r="A519" s="17"/>
    </row>
    <row r="520" s="4" customFormat="1" ht="15.75">
      <c r="A520" s="17"/>
    </row>
    <row r="521" s="4" customFormat="1" ht="15.75">
      <c r="A521" s="17"/>
    </row>
    <row r="522" s="4" customFormat="1" ht="15.75">
      <c r="A522" s="17"/>
    </row>
    <row r="523" s="4" customFormat="1" ht="15.75">
      <c r="A523" s="17"/>
    </row>
    <row r="524" s="4" customFormat="1" ht="15.75">
      <c r="A524" s="17"/>
    </row>
    <row r="525" s="4" customFormat="1" ht="15.75">
      <c r="A525" s="17"/>
    </row>
    <row r="526" s="4" customFormat="1" ht="15.75">
      <c r="A526" s="17"/>
    </row>
    <row r="527" s="4" customFormat="1" ht="15.75">
      <c r="A527" s="17"/>
    </row>
    <row r="528" s="4" customFormat="1" ht="15.75">
      <c r="A528" s="17"/>
    </row>
    <row r="529" s="4" customFormat="1" ht="15.75">
      <c r="A529" s="17"/>
    </row>
    <row r="530" s="4" customFormat="1" ht="15.75">
      <c r="A530" s="17"/>
    </row>
    <row r="531" s="4" customFormat="1" ht="15.75">
      <c r="A531" s="17"/>
    </row>
    <row r="532" s="4" customFormat="1" ht="15.75">
      <c r="A532" s="17"/>
    </row>
    <row r="533" s="4" customFormat="1" ht="15.75">
      <c r="A533" s="17"/>
    </row>
    <row r="534" s="4" customFormat="1" ht="15.75">
      <c r="A534" s="17"/>
    </row>
    <row r="535" s="4" customFormat="1" ht="15.75">
      <c r="A535" s="17"/>
    </row>
    <row r="536" s="4" customFormat="1" ht="15.75">
      <c r="A536" s="17"/>
    </row>
    <row r="537" s="4" customFormat="1" ht="15.75">
      <c r="A537" s="17"/>
    </row>
    <row r="538" s="4" customFormat="1" ht="15.75">
      <c r="A538" s="17"/>
    </row>
    <row r="539" s="4" customFormat="1" ht="15.75">
      <c r="A539" s="17"/>
    </row>
    <row r="540" s="4" customFormat="1" ht="15.75">
      <c r="A540" s="17"/>
    </row>
    <row r="541" s="4" customFormat="1" ht="15.75">
      <c r="A541" s="17"/>
    </row>
    <row r="542" s="4" customFormat="1" ht="15.75">
      <c r="A542" s="17"/>
    </row>
    <row r="543" s="4" customFormat="1" ht="15.75">
      <c r="A543" s="17"/>
    </row>
    <row r="544" s="4" customFormat="1" ht="15.75">
      <c r="A544" s="17"/>
    </row>
    <row r="545" s="4" customFormat="1" ht="15.75">
      <c r="A545" s="17"/>
    </row>
    <row r="546" s="4" customFormat="1" ht="15.75">
      <c r="A546" s="17"/>
    </row>
    <row r="547" s="4" customFormat="1" ht="15.75">
      <c r="A547" s="17"/>
    </row>
    <row r="548" s="4" customFormat="1" ht="15.75">
      <c r="A548" s="17"/>
    </row>
    <row r="549" s="4" customFormat="1" ht="15.75">
      <c r="A549" s="17"/>
    </row>
    <row r="550" s="4" customFormat="1" ht="15.75">
      <c r="A550" s="17"/>
    </row>
    <row r="551" s="4" customFormat="1" ht="15.75">
      <c r="A551" s="17"/>
    </row>
    <row r="552" s="4" customFormat="1" ht="15.75">
      <c r="A552" s="17"/>
    </row>
    <row r="553" s="4" customFormat="1" ht="15.75">
      <c r="A553" s="17"/>
    </row>
    <row r="554" s="4" customFormat="1" ht="15.75">
      <c r="A554" s="17"/>
    </row>
    <row r="555" s="4" customFormat="1" ht="15.75">
      <c r="A555" s="17"/>
    </row>
    <row r="556" s="4" customFormat="1" ht="15.75">
      <c r="A556" s="17"/>
    </row>
    <row r="557" s="4" customFormat="1" ht="15.75">
      <c r="A557" s="17"/>
    </row>
    <row r="558" s="4" customFormat="1" ht="15.75">
      <c r="A558" s="17"/>
    </row>
    <row r="559" s="4" customFormat="1" ht="15.75">
      <c r="A559" s="17"/>
    </row>
    <row r="560" s="4" customFormat="1" ht="15.75">
      <c r="A560" s="17"/>
    </row>
    <row r="561" s="4" customFormat="1" ht="15.75">
      <c r="A561" s="17"/>
    </row>
    <row r="562" s="4" customFormat="1" ht="15.75">
      <c r="A562" s="17"/>
    </row>
    <row r="563" s="4" customFormat="1" ht="15.75">
      <c r="A563" s="17"/>
    </row>
    <row r="564" s="4" customFormat="1" ht="15.75">
      <c r="A564" s="17"/>
    </row>
    <row r="565" s="4" customFormat="1" ht="15.75">
      <c r="A565" s="17"/>
    </row>
    <row r="566" s="4" customFormat="1" ht="15.75">
      <c r="A566" s="17"/>
    </row>
    <row r="567" s="4" customFormat="1" ht="15.75">
      <c r="A567" s="17"/>
    </row>
    <row r="568" s="4" customFormat="1" ht="15.75">
      <c r="A568" s="17"/>
    </row>
    <row r="569" s="4" customFormat="1" ht="15.75">
      <c r="A569" s="17"/>
    </row>
    <row r="570" s="4" customFormat="1" ht="15.75">
      <c r="A570" s="17"/>
    </row>
    <row r="571" s="4" customFormat="1" ht="15.75">
      <c r="A571" s="17"/>
    </row>
    <row r="572" s="4" customFormat="1" ht="15.75">
      <c r="A572" s="17"/>
    </row>
    <row r="573" s="4" customFormat="1" ht="15.75">
      <c r="A573" s="17"/>
    </row>
    <row r="574" s="4" customFormat="1" ht="15.75">
      <c r="A574" s="17"/>
    </row>
    <row r="575" s="4" customFormat="1" ht="15.75">
      <c r="A575" s="17"/>
    </row>
    <row r="576" s="4" customFormat="1" ht="15.75">
      <c r="A576" s="17"/>
    </row>
    <row r="577" s="4" customFormat="1" ht="15.75">
      <c r="A577" s="17"/>
    </row>
    <row r="578" s="4" customFormat="1" ht="15.75">
      <c r="A578" s="17"/>
    </row>
    <row r="579" s="4" customFormat="1" ht="15.75">
      <c r="A579" s="17"/>
    </row>
    <row r="580" s="4" customFormat="1" ht="15.75">
      <c r="A580" s="17"/>
    </row>
    <row r="581" s="4" customFormat="1" ht="15.75">
      <c r="A581" s="17"/>
    </row>
    <row r="582" s="4" customFormat="1" ht="15.75">
      <c r="A582" s="17"/>
    </row>
    <row r="583" s="4" customFormat="1" ht="15.75">
      <c r="A583" s="17"/>
    </row>
    <row r="584" s="4" customFormat="1" ht="15.75">
      <c r="A584" s="17"/>
    </row>
    <row r="585" s="4" customFormat="1" ht="15.75">
      <c r="A585" s="17"/>
    </row>
    <row r="586" s="4" customFormat="1" ht="15.75">
      <c r="A586" s="17"/>
    </row>
    <row r="587" s="4" customFormat="1" ht="15.75">
      <c r="A587" s="17"/>
    </row>
    <row r="588" s="4" customFormat="1" ht="15.75">
      <c r="A588" s="17"/>
    </row>
    <row r="589" s="4" customFormat="1" ht="15.75">
      <c r="A589" s="17"/>
    </row>
    <row r="590" s="4" customFormat="1" ht="15.75">
      <c r="A590" s="17"/>
    </row>
    <row r="591" s="4" customFormat="1" ht="15.75">
      <c r="A591" s="17"/>
    </row>
    <row r="592" s="4" customFormat="1" ht="15.75">
      <c r="A592" s="17"/>
    </row>
    <row r="593" s="4" customFormat="1" ht="15.75">
      <c r="A593" s="17"/>
    </row>
    <row r="594" s="4" customFormat="1" ht="15.75">
      <c r="A594" s="17"/>
    </row>
    <row r="595" s="4" customFormat="1" ht="15.75">
      <c r="A595" s="17"/>
    </row>
    <row r="596" s="4" customFormat="1" ht="15.75">
      <c r="A596" s="17"/>
    </row>
    <row r="597" s="4" customFormat="1" ht="15.75">
      <c r="A597" s="17"/>
    </row>
    <row r="598" s="4" customFormat="1" ht="15.75">
      <c r="A598" s="17"/>
    </row>
    <row r="599" s="4" customFormat="1" ht="15.75">
      <c r="A599" s="17"/>
    </row>
    <row r="600" s="4" customFormat="1" ht="15.75">
      <c r="A600" s="17"/>
    </row>
    <row r="601" s="4" customFormat="1" ht="15.75">
      <c r="A601" s="17"/>
    </row>
    <row r="602" s="4" customFormat="1" ht="15.75">
      <c r="A602" s="17"/>
    </row>
    <row r="603" s="4" customFormat="1" ht="15.75">
      <c r="A603" s="17"/>
    </row>
    <row r="604" s="4" customFormat="1" ht="15.75">
      <c r="A604" s="17"/>
    </row>
    <row r="605" s="4" customFormat="1" ht="15.75">
      <c r="A605" s="17"/>
    </row>
    <row r="606" s="4" customFormat="1" ht="15.75">
      <c r="A606" s="17"/>
    </row>
    <row r="607" s="4" customFormat="1" ht="15.75">
      <c r="A607" s="17"/>
    </row>
    <row r="608" s="4" customFormat="1" ht="15.75">
      <c r="A608" s="17"/>
    </row>
    <row r="609" s="4" customFormat="1" ht="15.75">
      <c r="A609" s="17"/>
    </row>
    <row r="610" s="4" customFormat="1" ht="15.75">
      <c r="A610" s="17"/>
    </row>
    <row r="611" s="4" customFormat="1" ht="15.75">
      <c r="A611" s="17"/>
    </row>
    <row r="612" s="4" customFormat="1" ht="15.75">
      <c r="A612" s="17"/>
    </row>
    <row r="613" s="4" customFormat="1" ht="15.75">
      <c r="A613" s="17"/>
    </row>
    <row r="614" s="4" customFormat="1" ht="15.75">
      <c r="A614" s="17"/>
    </row>
    <row r="615" s="4" customFormat="1" ht="15.75">
      <c r="A615" s="17"/>
    </row>
    <row r="616" s="4" customFormat="1" ht="15.75">
      <c r="A616" s="17"/>
    </row>
    <row r="617" s="4" customFormat="1" ht="15.75">
      <c r="A617" s="17"/>
    </row>
    <row r="618" s="4" customFormat="1" ht="15.75">
      <c r="A618" s="17"/>
    </row>
    <row r="619" s="4" customFormat="1" ht="15.75">
      <c r="A619" s="17"/>
    </row>
    <row r="620" s="4" customFormat="1" ht="15.75">
      <c r="A620" s="17"/>
    </row>
    <row r="621" s="4" customFormat="1" ht="15.75">
      <c r="A621" s="17"/>
    </row>
    <row r="622" s="4" customFormat="1" ht="15.75">
      <c r="A622" s="17"/>
    </row>
    <row r="623" s="4" customFormat="1" ht="15.75">
      <c r="A623" s="17"/>
    </row>
    <row r="624" s="4" customFormat="1" ht="15.75">
      <c r="A624" s="17"/>
    </row>
    <row r="625" s="4" customFormat="1" ht="15.75">
      <c r="A625" s="17"/>
    </row>
    <row r="626" s="4" customFormat="1" ht="15.75">
      <c r="A626" s="17"/>
    </row>
    <row r="627" s="4" customFormat="1" ht="15.75">
      <c r="A627" s="17"/>
    </row>
    <row r="628" s="4" customFormat="1" ht="15.75">
      <c r="A628" s="17"/>
    </row>
    <row r="629" s="4" customFormat="1" ht="15.75">
      <c r="A629" s="17"/>
    </row>
    <row r="630" s="4" customFormat="1" ht="15.75">
      <c r="A630" s="17"/>
    </row>
    <row r="631" s="4" customFormat="1" ht="15.75">
      <c r="A631" s="17"/>
    </row>
    <row r="632" s="4" customFormat="1" ht="15.75">
      <c r="A632" s="17"/>
    </row>
    <row r="633" s="4" customFormat="1" ht="15.75">
      <c r="A633" s="17"/>
    </row>
    <row r="634" s="4" customFormat="1" ht="15.75">
      <c r="A634" s="17"/>
    </row>
    <row r="635" s="4" customFormat="1" ht="15.75">
      <c r="A635" s="17"/>
    </row>
    <row r="636" s="4" customFormat="1" ht="15.75">
      <c r="A636" s="17"/>
    </row>
    <row r="637" s="4" customFormat="1" ht="15.75">
      <c r="A637" s="17"/>
    </row>
    <row r="638" s="4" customFormat="1" ht="15.75">
      <c r="A638" s="17"/>
    </row>
    <row r="639" s="4" customFormat="1" ht="15.75">
      <c r="A639" s="17"/>
    </row>
    <row r="640" s="4" customFormat="1" ht="15.75">
      <c r="A640" s="17"/>
    </row>
    <row r="641" s="4" customFormat="1" ht="15.75">
      <c r="A641" s="17"/>
    </row>
    <row r="642" s="4" customFormat="1" ht="15.75">
      <c r="A642" s="17"/>
    </row>
    <row r="643" s="4" customFormat="1" ht="15.75">
      <c r="A643" s="17"/>
    </row>
    <row r="644" s="4" customFormat="1" ht="15.75">
      <c r="A644" s="17"/>
    </row>
    <row r="645" s="4" customFormat="1" ht="15.75">
      <c r="A645" s="17"/>
    </row>
    <row r="646" s="4" customFormat="1" ht="15.75">
      <c r="A646" s="17"/>
    </row>
    <row r="647" s="4" customFormat="1" ht="15.75">
      <c r="A647" s="17"/>
    </row>
    <row r="648" s="4" customFormat="1" ht="15.75">
      <c r="A648" s="17"/>
    </row>
    <row r="649" s="4" customFormat="1" ht="15.75">
      <c r="A649" s="17"/>
    </row>
    <row r="650" s="4" customFormat="1" ht="15.75">
      <c r="A650" s="17"/>
    </row>
    <row r="651" s="4" customFormat="1" ht="15.75">
      <c r="A651" s="17"/>
    </row>
    <row r="652" s="4" customFormat="1" ht="15.75">
      <c r="A652" s="17"/>
    </row>
    <row r="653" s="4" customFormat="1" ht="15.75">
      <c r="A653" s="17"/>
    </row>
    <row r="654" s="4" customFormat="1" ht="15.75">
      <c r="A654" s="17"/>
    </row>
    <row r="655" s="4" customFormat="1" ht="15.75">
      <c r="A655" s="17"/>
    </row>
    <row r="656" s="4" customFormat="1" ht="15.75">
      <c r="A656" s="17"/>
    </row>
    <row r="657" s="4" customFormat="1" ht="15.75">
      <c r="A657" s="17"/>
    </row>
    <row r="658" s="4" customFormat="1" ht="15.75">
      <c r="A658" s="17"/>
    </row>
    <row r="659" s="4" customFormat="1" ht="15.75">
      <c r="A659" s="17"/>
    </row>
    <row r="660" s="4" customFormat="1" ht="15.75">
      <c r="A660" s="17"/>
    </row>
    <row r="661" s="4" customFormat="1" ht="15.75">
      <c r="A661" s="17"/>
    </row>
    <row r="662" s="4" customFormat="1" ht="15.75">
      <c r="A662" s="17"/>
    </row>
    <row r="663" s="4" customFormat="1" ht="15.75">
      <c r="A663" s="17"/>
    </row>
    <row r="664" s="4" customFormat="1" ht="15.75">
      <c r="A664" s="17"/>
    </row>
    <row r="665" s="4" customFormat="1" ht="15.75">
      <c r="A665" s="17"/>
    </row>
    <row r="666" s="4" customFormat="1" ht="15.75">
      <c r="A666" s="17"/>
    </row>
    <row r="667" s="4" customFormat="1" ht="15.75">
      <c r="A667" s="17"/>
    </row>
    <row r="668" s="4" customFormat="1" ht="15.75">
      <c r="A668" s="17"/>
    </row>
    <row r="669" s="4" customFormat="1" ht="15.75">
      <c r="A669" s="17"/>
    </row>
    <row r="670" s="4" customFormat="1" ht="15.75">
      <c r="A670" s="17"/>
    </row>
    <row r="671" s="4" customFormat="1" ht="15.75">
      <c r="A671" s="17"/>
    </row>
    <row r="672" s="4" customFormat="1" ht="15.75">
      <c r="A672" s="17"/>
    </row>
    <row r="673" s="4" customFormat="1" ht="15.75">
      <c r="A673" s="17"/>
    </row>
    <row r="674" s="4" customFormat="1" ht="15.75">
      <c r="A674" s="17"/>
    </row>
    <row r="675" s="4" customFormat="1" ht="15.75">
      <c r="A675" s="17"/>
    </row>
    <row r="676" s="4" customFormat="1" ht="15.75">
      <c r="A676" s="17"/>
    </row>
    <row r="677" s="4" customFormat="1" ht="15.75">
      <c r="A677" s="17"/>
    </row>
    <row r="678" s="4" customFormat="1" ht="15.75">
      <c r="A678" s="17"/>
    </row>
    <row r="679" s="4" customFormat="1" ht="15.75">
      <c r="A679" s="17"/>
    </row>
    <row r="680" s="4" customFormat="1" ht="15.75">
      <c r="A680" s="17"/>
    </row>
    <row r="681" s="4" customFormat="1" ht="15.75">
      <c r="A681" s="17"/>
    </row>
    <row r="682" s="4" customFormat="1" ht="15.75">
      <c r="A682" s="17"/>
    </row>
    <row r="683" s="4" customFormat="1" ht="15.75">
      <c r="A683" s="17"/>
    </row>
    <row r="684" s="4" customFormat="1" ht="15.75">
      <c r="A684" s="17"/>
    </row>
    <row r="685" s="4" customFormat="1" ht="15.75">
      <c r="A685" s="17"/>
    </row>
    <row r="686" s="4" customFormat="1" ht="15.75">
      <c r="A686" s="17"/>
    </row>
    <row r="687" s="4" customFormat="1" ht="15.75">
      <c r="A687" s="17"/>
    </row>
    <row r="688" s="4" customFormat="1" ht="15.75">
      <c r="A688" s="17"/>
    </row>
    <row r="689" s="4" customFormat="1" ht="15.75">
      <c r="A689" s="17"/>
    </row>
    <row r="690" s="4" customFormat="1" ht="15.75">
      <c r="A690" s="17"/>
    </row>
    <row r="691" s="4" customFormat="1" ht="15.75">
      <c r="A691" s="17"/>
    </row>
    <row r="692" s="4" customFormat="1" ht="15.75">
      <c r="A692" s="17"/>
    </row>
    <row r="693" s="4" customFormat="1" ht="15.75">
      <c r="A693" s="17"/>
    </row>
    <row r="694" s="4" customFormat="1" ht="15.75">
      <c r="A694" s="17"/>
    </row>
    <row r="695" s="4" customFormat="1" ht="15.75">
      <c r="A695" s="17"/>
    </row>
    <row r="696" s="4" customFormat="1" ht="15.75">
      <c r="A696" s="17"/>
    </row>
    <row r="697" s="4" customFormat="1" ht="15.75">
      <c r="A697" s="17"/>
    </row>
    <row r="698" s="4" customFormat="1" ht="15.75">
      <c r="A698" s="17"/>
    </row>
    <row r="699" s="4" customFormat="1" ht="15.75">
      <c r="A699" s="17"/>
    </row>
    <row r="700" s="4" customFormat="1" ht="15.75">
      <c r="A700" s="17"/>
    </row>
    <row r="701" s="4" customFormat="1" ht="15.75">
      <c r="A701" s="17"/>
    </row>
    <row r="702" s="4" customFormat="1" ht="15.75">
      <c r="A702" s="17"/>
    </row>
    <row r="703" s="4" customFormat="1" ht="15.75">
      <c r="A703" s="17"/>
    </row>
    <row r="704" s="4" customFormat="1" ht="15.75">
      <c r="A704" s="17"/>
    </row>
    <row r="705" s="4" customFormat="1" ht="15.75">
      <c r="A705" s="17"/>
    </row>
    <row r="706" s="4" customFormat="1" ht="15.75">
      <c r="A706" s="17"/>
    </row>
    <row r="707" s="4" customFormat="1" ht="15.75">
      <c r="A707" s="17"/>
    </row>
    <row r="708" s="4" customFormat="1" ht="15.75">
      <c r="A708" s="17"/>
    </row>
    <row r="709" s="4" customFormat="1" ht="15.75">
      <c r="A709" s="17"/>
    </row>
    <row r="710" s="4" customFormat="1" ht="15.75">
      <c r="A710" s="17"/>
    </row>
    <row r="711" s="4" customFormat="1" ht="15.75">
      <c r="A711" s="17"/>
    </row>
    <row r="712" s="4" customFormat="1" ht="15.75">
      <c r="A712" s="17"/>
    </row>
    <row r="713" s="4" customFormat="1" ht="15.75">
      <c r="A713" s="17"/>
    </row>
    <row r="714" s="4" customFormat="1" ht="15.75">
      <c r="A714" s="17"/>
    </row>
    <row r="715" s="4" customFormat="1" ht="15.75">
      <c r="A715" s="17"/>
    </row>
    <row r="716" s="4" customFormat="1" ht="15.75">
      <c r="A716" s="17"/>
    </row>
    <row r="717" s="4" customFormat="1" ht="15.75">
      <c r="A717" s="17"/>
    </row>
    <row r="718" s="4" customFormat="1" ht="15.75">
      <c r="A718" s="17"/>
    </row>
    <row r="719" s="4" customFormat="1" ht="15.75">
      <c r="A719" s="17"/>
    </row>
    <row r="720" s="4" customFormat="1" ht="15.75">
      <c r="A720" s="17"/>
    </row>
    <row r="721" s="4" customFormat="1" ht="15.75">
      <c r="A721" s="17"/>
    </row>
    <row r="722" s="4" customFormat="1" ht="15.75">
      <c r="A722" s="17"/>
    </row>
    <row r="723" s="4" customFormat="1" ht="15.75">
      <c r="A723" s="17"/>
    </row>
    <row r="724" s="4" customFormat="1" ht="15.75">
      <c r="A724" s="17"/>
    </row>
    <row r="725" s="4" customFormat="1" ht="15.75">
      <c r="A725" s="17"/>
    </row>
    <row r="726" s="4" customFormat="1" ht="15.75">
      <c r="A726" s="17"/>
    </row>
    <row r="727" s="4" customFormat="1" ht="15.75">
      <c r="A727" s="17"/>
    </row>
    <row r="728" s="4" customFormat="1" ht="15.75">
      <c r="A728" s="17"/>
    </row>
    <row r="729" s="4" customFormat="1" ht="15.75">
      <c r="A729" s="17"/>
    </row>
    <row r="730" s="4" customFormat="1" ht="15.75">
      <c r="A730" s="17"/>
    </row>
    <row r="731" s="4" customFormat="1" ht="15.75">
      <c r="A731" s="17"/>
    </row>
    <row r="732" s="4" customFormat="1" ht="15.75">
      <c r="A732" s="17"/>
    </row>
    <row r="733" s="4" customFormat="1" ht="15.75">
      <c r="A733" s="17"/>
    </row>
    <row r="734" s="4" customFormat="1" ht="15.75">
      <c r="A734" s="17"/>
    </row>
    <row r="735" s="4" customFormat="1" ht="15.75">
      <c r="A735" s="17"/>
    </row>
    <row r="736" s="4" customFormat="1" ht="15.75">
      <c r="A736" s="17"/>
    </row>
    <row r="737" s="4" customFormat="1" ht="15.75">
      <c r="A737" s="17"/>
    </row>
    <row r="738" s="4" customFormat="1" ht="15.75">
      <c r="A738" s="17"/>
    </row>
    <row r="739" s="4" customFormat="1" ht="15.75">
      <c r="A739" s="17"/>
    </row>
    <row r="740" s="4" customFormat="1" ht="15.75">
      <c r="A740" s="17"/>
    </row>
    <row r="741" s="4" customFormat="1" ht="15.75">
      <c r="A741" s="17"/>
    </row>
    <row r="742" s="4" customFormat="1" ht="15.75">
      <c r="A742" s="17"/>
    </row>
    <row r="743" s="4" customFormat="1" ht="15.75">
      <c r="A743" s="17"/>
    </row>
    <row r="744" s="4" customFormat="1" ht="15.75">
      <c r="A744" s="17"/>
    </row>
    <row r="745" s="4" customFormat="1" ht="15.75">
      <c r="A745" s="17"/>
    </row>
    <row r="746" s="4" customFormat="1" ht="15.75">
      <c r="A746" s="17"/>
    </row>
    <row r="747" s="4" customFormat="1" ht="15.75">
      <c r="A747" s="17"/>
    </row>
    <row r="748" s="4" customFormat="1" ht="15.75">
      <c r="A748" s="17"/>
    </row>
    <row r="749" s="4" customFormat="1" ht="15.75">
      <c r="A749" s="17"/>
    </row>
    <row r="750" s="4" customFormat="1" ht="15.75">
      <c r="A750" s="17"/>
    </row>
    <row r="751" s="4" customFormat="1" ht="15.75">
      <c r="A751" s="17"/>
    </row>
    <row r="752" s="4" customFormat="1" ht="15.75">
      <c r="A752" s="17"/>
    </row>
    <row r="753" s="4" customFormat="1" ht="15.75">
      <c r="A753" s="17"/>
    </row>
    <row r="754" s="4" customFormat="1" ht="15.75">
      <c r="A754" s="17"/>
    </row>
    <row r="755" s="4" customFormat="1" ht="15.75">
      <c r="A755" s="17"/>
    </row>
    <row r="756" s="4" customFormat="1" ht="15.75">
      <c r="A756" s="17"/>
    </row>
    <row r="757" s="4" customFormat="1" ht="15.75">
      <c r="A757" s="17"/>
    </row>
    <row r="758" s="4" customFormat="1" ht="15.75">
      <c r="A758" s="17"/>
    </row>
    <row r="759" s="4" customFormat="1" ht="15.75">
      <c r="A759" s="17"/>
    </row>
    <row r="760" s="4" customFormat="1" ht="15.75">
      <c r="A760" s="17"/>
    </row>
    <row r="761" s="4" customFormat="1" ht="15.75">
      <c r="A761" s="17"/>
    </row>
    <row r="762" s="4" customFormat="1" ht="15.75">
      <c r="A762" s="17"/>
    </row>
    <row r="763" s="4" customFormat="1" ht="15.75">
      <c r="A763" s="17"/>
    </row>
    <row r="764" s="4" customFormat="1" ht="15.75">
      <c r="A764" s="17"/>
    </row>
    <row r="765" s="4" customFormat="1" ht="15.75">
      <c r="A765" s="17"/>
    </row>
    <row r="766" s="4" customFormat="1" ht="15.75">
      <c r="A766" s="17"/>
    </row>
    <row r="767" s="4" customFormat="1" ht="15.75">
      <c r="A767" s="17"/>
    </row>
    <row r="768" s="4" customFormat="1" ht="15.75">
      <c r="A768" s="17"/>
    </row>
    <row r="769" s="4" customFormat="1" ht="15.75">
      <c r="A769" s="17"/>
    </row>
    <row r="770" s="4" customFormat="1" ht="15.75">
      <c r="A770" s="17"/>
    </row>
    <row r="771" s="4" customFormat="1" ht="15.75">
      <c r="A771" s="17"/>
    </row>
    <row r="772" s="4" customFormat="1" ht="15.75">
      <c r="A772" s="17"/>
    </row>
    <row r="773" s="4" customFormat="1" ht="15.75">
      <c r="A773" s="17"/>
    </row>
    <row r="774" s="4" customFormat="1" ht="15.75">
      <c r="A774" s="17"/>
    </row>
    <row r="775" ht="15.75">
      <c r="I775" s="4"/>
    </row>
    <row r="776" ht="15.75">
      <c r="I776" s="4"/>
    </row>
  </sheetData>
  <mergeCells count="4">
    <mergeCell ref="A5:M5"/>
    <mergeCell ref="A6:M6"/>
    <mergeCell ref="C125:D125"/>
    <mergeCell ref="C126:D126"/>
  </mergeCells>
  <printOptions/>
  <pageMargins left="0.59" right="0.26" top="0.48" bottom="0.51" header="0.5" footer="0.5"/>
  <pageSetup horizontalDpi="300" verticalDpi="300" orientation="landscape" paperSize="5" scale="77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694"/>
  <sheetViews>
    <sheetView workbookViewId="0" topLeftCell="A1">
      <selection activeCell="A2" sqref="A2:AE2"/>
    </sheetView>
  </sheetViews>
  <sheetFormatPr defaultColWidth="8.88671875" defaultRowHeight="15.75"/>
  <cols>
    <col min="1" max="1" width="3.77734375" style="18" customWidth="1"/>
    <col min="2" max="2" width="0.3359375" style="10" hidden="1" customWidth="1"/>
    <col min="3" max="3" width="42.3359375" style="10" customWidth="1"/>
    <col min="4" max="4" width="0.44140625" style="10" customWidth="1"/>
    <col min="5" max="5" width="10.21484375" style="10" customWidth="1"/>
    <col min="6" max="6" width="0.3359375" style="10" customWidth="1"/>
    <col min="7" max="7" width="9.5546875" style="10" customWidth="1"/>
    <col min="8" max="8" width="0.3359375" style="10" customWidth="1"/>
    <col min="9" max="9" width="9.3359375" style="10" customWidth="1"/>
    <col min="10" max="10" width="0.3359375" style="10" customWidth="1"/>
    <col min="11" max="11" width="10.10546875" style="10" customWidth="1"/>
    <col min="12" max="12" width="1.33203125" style="10" customWidth="1"/>
    <col min="13" max="13" width="10.3359375" style="10" customWidth="1"/>
    <col min="14" max="14" width="0.3359375" style="10" customWidth="1"/>
    <col min="15" max="15" width="9.6640625" style="10" customWidth="1"/>
    <col min="16" max="16" width="0.3359375" style="10" customWidth="1"/>
    <col min="17" max="17" width="8.77734375" style="10" customWidth="1"/>
    <col min="18" max="18" width="0.3359375" style="10" customWidth="1"/>
    <col min="19" max="19" width="9.6640625" style="10" customWidth="1"/>
    <col min="20" max="20" width="1.1171875" style="10" customWidth="1"/>
    <col min="21" max="21" width="10.21484375" style="10" customWidth="1"/>
    <col min="22" max="22" width="0.3359375" style="10" customWidth="1"/>
    <col min="23" max="23" width="9.4453125" style="10" customWidth="1"/>
    <col min="24" max="24" width="0.3359375" style="10" customWidth="1"/>
    <col min="25" max="25" width="9.88671875" style="10" customWidth="1"/>
    <col min="26" max="26" width="0.3359375" style="10" customWidth="1"/>
    <col min="27" max="27" width="9.99609375" style="10" customWidth="1"/>
    <col min="28" max="28" width="0.88671875" style="10" customWidth="1"/>
    <col min="29" max="29" width="7.10546875" style="10" bestFit="1" customWidth="1"/>
    <col min="30" max="30" width="0.55078125" style="10" customWidth="1"/>
    <col min="31" max="31" width="8.99609375" style="10" bestFit="1" customWidth="1"/>
    <col min="32" max="32" width="0.44140625" style="10" customWidth="1"/>
    <col min="33" max="33" width="13.4453125" style="10" customWidth="1"/>
    <col min="34" max="34" width="11.21484375" style="10" customWidth="1"/>
    <col min="35" max="35" width="0.55078125" style="10" hidden="1" customWidth="1"/>
    <col min="36" max="36" width="13.3359375" style="10" customWidth="1"/>
    <col min="37" max="37" width="0.671875" style="10" customWidth="1"/>
    <col min="38" max="38" width="9.88671875" style="10" customWidth="1"/>
    <col min="39" max="39" width="0.78125" style="10" customWidth="1"/>
    <col min="40" max="40" width="9.88671875" style="10" bestFit="1" customWidth="1"/>
    <col min="41" max="41" width="0.78125" style="10" customWidth="1"/>
    <col min="42" max="42" width="8.77734375" style="10" customWidth="1"/>
    <col min="43" max="43" width="0.78125" style="10" customWidth="1"/>
    <col min="44" max="16384" width="8.77734375" style="10" customWidth="1"/>
  </cols>
  <sheetData>
    <row r="1" spans="1:36" ht="3.75" customHeight="1">
      <c r="A1" s="17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1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ht="17.25" customHeight="1">
      <c r="A2" s="929" t="s">
        <v>62</v>
      </c>
      <c r="B2" s="929"/>
      <c r="C2" s="929"/>
      <c r="D2" s="929"/>
      <c r="E2" s="929"/>
      <c r="F2" s="929"/>
      <c r="G2" s="929"/>
      <c r="H2" s="929"/>
      <c r="I2" s="929"/>
      <c r="J2" s="929"/>
      <c r="K2" s="929"/>
      <c r="L2" s="929"/>
      <c r="M2" s="929"/>
      <c r="N2" s="929"/>
      <c r="O2" s="929"/>
      <c r="P2" s="929"/>
      <c r="Q2" s="929"/>
      <c r="R2" s="929"/>
      <c r="S2" s="929"/>
      <c r="T2" s="929"/>
      <c r="U2" s="929"/>
      <c r="V2" s="929"/>
      <c r="W2" s="929"/>
      <c r="X2" s="929"/>
      <c r="Y2" s="929"/>
      <c r="Z2" s="929"/>
      <c r="AA2" s="929"/>
      <c r="AB2" s="929"/>
      <c r="AC2" s="929"/>
      <c r="AD2" s="929"/>
      <c r="AE2" s="929"/>
      <c r="AF2" s="7"/>
      <c r="AG2" s="7"/>
      <c r="AH2" s="7"/>
      <c r="AI2" s="7"/>
      <c r="AJ2" s="7"/>
    </row>
    <row r="3" spans="1:42" ht="17.25" customHeight="1">
      <c r="A3" s="930" t="s">
        <v>335</v>
      </c>
      <c r="B3" s="930"/>
      <c r="C3" s="930"/>
      <c r="D3" s="930"/>
      <c r="E3" s="930"/>
      <c r="F3" s="930"/>
      <c r="G3" s="930"/>
      <c r="H3" s="930"/>
      <c r="I3" s="930"/>
      <c r="J3" s="930"/>
      <c r="K3" s="930"/>
      <c r="L3" s="930"/>
      <c r="M3" s="930"/>
      <c r="N3" s="930"/>
      <c r="O3" s="930"/>
      <c r="P3" s="930"/>
      <c r="Q3" s="930"/>
      <c r="R3" s="930"/>
      <c r="S3" s="930"/>
      <c r="T3" s="930"/>
      <c r="U3" s="930"/>
      <c r="V3" s="930"/>
      <c r="W3" s="930"/>
      <c r="X3" s="930"/>
      <c r="Y3" s="930"/>
      <c r="Z3" s="930"/>
      <c r="AA3" s="930"/>
      <c r="AB3" s="930"/>
      <c r="AC3" s="930"/>
      <c r="AD3" s="930"/>
      <c r="AE3" s="930"/>
      <c r="AF3" s="96"/>
      <c r="AG3" s="96"/>
      <c r="AH3" s="96"/>
      <c r="AI3" s="96"/>
      <c r="AJ3" s="96"/>
      <c r="AL3" s="32"/>
      <c r="AM3" s="32"/>
      <c r="AN3" s="32"/>
      <c r="AO3" s="32"/>
      <c r="AP3" s="32"/>
    </row>
    <row r="4" spans="1:42" ht="3.75" customHeight="1">
      <c r="A4" s="17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1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L4" s="32"/>
      <c r="AM4" s="32"/>
      <c r="AN4" s="32"/>
      <c r="AO4" s="32"/>
      <c r="AP4" s="32"/>
    </row>
    <row r="5" spans="1:42" ht="15.75" customHeight="1" thickBot="1">
      <c r="A5" s="17"/>
      <c r="B5" s="4"/>
      <c r="C5" s="4"/>
      <c r="D5" s="4"/>
      <c r="E5" s="4"/>
      <c r="F5" s="4"/>
      <c r="G5" s="4"/>
      <c r="H5" s="4"/>
      <c r="I5" s="4"/>
      <c r="J5" s="4"/>
      <c r="K5" s="4"/>
      <c r="L5" s="14"/>
      <c r="M5" s="667"/>
      <c r="N5" s="667"/>
      <c r="O5" s="667"/>
      <c r="P5" s="667"/>
      <c r="Q5" s="667"/>
      <c r="R5" s="667"/>
      <c r="S5" s="667"/>
      <c r="T5" s="14"/>
      <c r="AC5" s="287"/>
      <c r="AD5" s="287"/>
      <c r="AE5" s="287"/>
      <c r="AF5" s="14"/>
      <c r="AG5" s="14"/>
      <c r="AH5" s="32"/>
      <c r="AI5" s="14"/>
      <c r="AJ5" s="22"/>
      <c r="AK5" s="4"/>
      <c r="AL5" s="32"/>
      <c r="AM5" s="14"/>
      <c r="AN5" s="287"/>
      <c r="AO5" s="32"/>
      <c r="AP5" s="32"/>
    </row>
    <row r="6" spans="1:42" ht="15.75" customHeight="1">
      <c r="A6" s="55"/>
      <c r="B6" s="56"/>
      <c r="C6" s="56"/>
      <c r="D6" s="56"/>
      <c r="E6" s="104" t="s">
        <v>261</v>
      </c>
      <c r="F6" s="805"/>
      <c r="G6" s="806"/>
      <c r="H6" s="807"/>
      <c r="I6" s="806"/>
      <c r="J6" s="807"/>
      <c r="K6" s="808" t="s">
        <v>86</v>
      </c>
      <c r="L6" s="842"/>
      <c r="M6" s="772" t="s">
        <v>261</v>
      </c>
      <c r="N6" s="809"/>
      <c r="O6" s="807"/>
      <c r="P6" s="702"/>
      <c r="Q6" s="810"/>
      <c r="R6" s="702"/>
      <c r="S6" s="811" t="s">
        <v>86</v>
      </c>
      <c r="T6" s="842"/>
      <c r="U6" s="788" t="s">
        <v>261</v>
      </c>
      <c r="V6" s="104"/>
      <c r="W6" s="807"/>
      <c r="X6" s="806"/>
      <c r="Y6" s="810"/>
      <c r="Z6" s="806"/>
      <c r="AA6" s="811" t="s">
        <v>86</v>
      </c>
      <c r="AB6" s="95"/>
      <c r="AC6" s="63"/>
      <c r="AD6" s="95"/>
      <c r="AE6" s="63"/>
      <c r="AF6" s="95"/>
      <c r="AG6" s="95"/>
      <c r="AH6" s="63"/>
      <c r="AK6" s="39"/>
      <c r="AL6" s="32"/>
      <c r="AM6" s="14"/>
      <c r="AN6" s="32"/>
      <c r="AO6" s="32"/>
      <c r="AP6" s="32"/>
    </row>
    <row r="7" spans="1:42" ht="15.75" customHeight="1">
      <c r="A7" s="58"/>
      <c r="B7" s="14"/>
      <c r="C7" s="14"/>
      <c r="D7" s="14"/>
      <c r="E7" s="744" t="s">
        <v>331</v>
      </c>
      <c r="F7" s="310"/>
      <c r="G7" s="812" t="s">
        <v>251</v>
      </c>
      <c r="H7" s="813"/>
      <c r="I7" s="703" t="s">
        <v>165</v>
      </c>
      <c r="J7" s="813"/>
      <c r="K7" s="814" t="s">
        <v>331</v>
      </c>
      <c r="L7" s="842"/>
      <c r="M7" s="773" t="s">
        <v>331</v>
      </c>
      <c r="N7" s="815"/>
      <c r="O7" s="813" t="s">
        <v>251</v>
      </c>
      <c r="P7" s="703"/>
      <c r="Q7" s="816" t="s">
        <v>165</v>
      </c>
      <c r="R7" s="703"/>
      <c r="S7" s="817" t="s">
        <v>331</v>
      </c>
      <c r="T7" s="842"/>
      <c r="U7" s="744" t="s">
        <v>331</v>
      </c>
      <c r="V7" s="273"/>
      <c r="W7" s="813" t="s">
        <v>251</v>
      </c>
      <c r="X7" s="812"/>
      <c r="Y7" s="816" t="s">
        <v>165</v>
      </c>
      <c r="Z7" s="812"/>
      <c r="AA7" s="817" t="s">
        <v>331</v>
      </c>
      <c r="AB7" s="95"/>
      <c r="AC7" s="272"/>
      <c r="AD7" s="95"/>
      <c r="AE7" s="272"/>
      <c r="AF7" s="95"/>
      <c r="AG7" s="95"/>
      <c r="AH7" s="273"/>
      <c r="AK7" s="39"/>
      <c r="AL7" s="32"/>
      <c r="AM7" s="14"/>
      <c r="AN7" s="32"/>
      <c r="AO7" s="32"/>
      <c r="AP7" s="32"/>
    </row>
    <row r="8" spans="1:42" ht="17.25" customHeight="1">
      <c r="A8" s="58"/>
      <c r="B8" s="14"/>
      <c r="C8" s="59"/>
      <c r="D8" s="59"/>
      <c r="E8" s="314" t="s">
        <v>175</v>
      </c>
      <c r="F8" s="818"/>
      <c r="G8" s="738" t="s">
        <v>175</v>
      </c>
      <c r="H8" s="713"/>
      <c r="I8" s="704" t="s">
        <v>175</v>
      </c>
      <c r="J8" s="713"/>
      <c r="K8" s="757" t="s">
        <v>175</v>
      </c>
      <c r="L8" s="843"/>
      <c r="M8" s="774" t="s">
        <v>330</v>
      </c>
      <c r="N8" s="819"/>
      <c r="O8" s="713" t="str">
        <f>+M8</f>
        <v>half  year</v>
      </c>
      <c r="P8" s="704"/>
      <c r="Q8" s="668" t="str">
        <f>+O8</f>
        <v>half  year</v>
      </c>
      <c r="R8" s="704"/>
      <c r="S8" s="796" t="str">
        <f>+Q8</f>
        <v>half  year</v>
      </c>
      <c r="T8" s="843"/>
      <c r="U8" s="314" t="s">
        <v>324</v>
      </c>
      <c r="V8" s="820"/>
      <c r="W8" s="713" t="str">
        <f>+U8</f>
        <v>Nine Months</v>
      </c>
      <c r="X8" s="738"/>
      <c r="Y8" s="668" t="str">
        <f>+W8</f>
        <v>Nine Months</v>
      </c>
      <c r="Z8" s="738"/>
      <c r="AA8" s="796" t="str">
        <f>+Y8</f>
        <v>Nine Months</v>
      </c>
      <c r="AB8" s="313"/>
      <c r="AC8" s="311"/>
      <c r="AD8" s="316"/>
      <c r="AE8" s="311"/>
      <c r="AF8" s="315"/>
      <c r="AG8" s="315"/>
      <c r="AH8" s="311" t="s">
        <v>232</v>
      </c>
      <c r="AL8" s="146"/>
      <c r="AM8" s="21"/>
      <c r="AN8" s="33"/>
      <c r="AO8" s="32"/>
      <c r="AP8" s="32"/>
    </row>
    <row r="9" spans="1:42" ht="17.25" customHeight="1">
      <c r="A9" s="58"/>
      <c r="B9" s="14"/>
      <c r="C9" s="14"/>
      <c r="D9" s="14"/>
      <c r="E9" s="314" t="s">
        <v>5</v>
      </c>
      <c r="F9" s="310"/>
      <c r="G9" s="738" t="s">
        <v>5</v>
      </c>
      <c r="H9" s="713"/>
      <c r="I9" s="704" t="s">
        <v>5</v>
      </c>
      <c r="J9" s="713"/>
      <c r="K9" s="757" t="s">
        <v>5</v>
      </c>
      <c r="L9" s="843"/>
      <c r="M9" s="774" t="s">
        <v>5</v>
      </c>
      <c r="N9" s="815"/>
      <c r="O9" s="713" t="s">
        <v>5</v>
      </c>
      <c r="P9" s="704"/>
      <c r="Q9" s="668" t="s">
        <v>5</v>
      </c>
      <c r="R9" s="704"/>
      <c r="S9" s="796" t="s">
        <v>5</v>
      </c>
      <c r="T9" s="843"/>
      <c r="U9" s="314" t="s">
        <v>5</v>
      </c>
      <c r="V9" s="820"/>
      <c r="W9" s="713" t="s">
        <v>5</v>
      </c>
      <c r="X9" s="738"/>
      <c r="Y9" s="668" t="s">
        <v>5</v>
      </c>
      <c r="Z9" s="738"/>
      <c r="AA9" s="796" t="s">
        <v>5</v>
      </c>
      <c r="AB9" s="313"/>
      <c r="AC9" s="311"/>
      <c r="AD9" s="316"/>
      <c r="AE9" s="311"/>
      <c r="AF9" s="315"/>
      <c r="AG9" s="315"/>
      <c r="AH9" s="311" t="s">
        <v>5</v>
      </c>
      <c r="AL9" s="146"/>
      <c r="AM9" s="21"/>
      <c r="AN9" s="33"/>
      <c r="AO9" s="32"/>
      <c r="AP9" s="32"/>
    </row>
    <row r="10" spans="1:42" ht="17.25" customHeight="1">
      <c r="A10" s="58"/>
      <c r="B10" s="14"/>
      <c r="C10" s="14"/>
      <c r="D10" s="14"/>
      <c r="E10" s="314" t="s">
        <v>323</v>
      </c>
      <c r="F10" s="310"/>
      <c r="G10" s="738" t="s">
        <v>323</v>
      </c>
      <c r="H10" s="713"/>
      <c r="I10" s="704" t="str">
        <f>+G10</f>
        <v>31.12.2003</v>
      </c>
      <c r="J10" s="713"/>
      <c r="K10" s="757" t="s">
        <v>323</v>
      </c>
      <c r="L10" s="843"/>
      <c r="M10" s="774" t="s">
        <v>79</v>
      </c>
      <c r="N10" s="815"/>
      <c r="O10" s="713" t="str">
        <f>+M10</f>
        <v>30.09.2003</v>
      </c>
      <c r="P10" s="704"/>
      <c r="Q10" s="668" t="str">
        <f>+O10</f>
        <v>30.09.2003</v>
      </c>
      <c r="R10" s="704"/>
      <c r="S10" s="796" t="str">
        <f>+Q10</f>
        <v>30.09.2003</v>
      </c>
      <c r="T10" s="843"/>
      <c r="U10" s="314" t="s">
        <v>323</v>
      </c>
      <c r="V10" s="820"/>
      <c r="W10" s="713" t="str">
        <f>+U10</f>
        <v>31.12.2003</v>
      </c>
      <c r="X10" s="738"/>
      <c r="Y10" s="668" t="str">
        <f>+W10</f>
        <v>31.12.2003</v>
      </c>
      <c r="Z10" s="738"/>
      <c r="AA10" s="796" t="str">
        <f>+Y10</f>
        <v>31.12.2003</v>
      </c>
      <c r="AB10" s="313"/>
      <c r="AC10" s="311"/>
      <c r="AD10" s="316"/>
      <c r="AE10" s="311"/>
      <c r="AF10" s="315"/>
      <c r="AG10" s="315"/>
      <c r="AH10" s="311" t="s">
        <v>233</v>
      </c>
      <c r="AL10" s="34"/>
      <c r="AM10" s="20"/>
      <c r="AN10" s="34"/>
      <c r="AO10" s="32"/>
      <c r="AP10" s="32"/>
    </row>
    <row r="11" spans="1:42" ht="17.25" customHeight="1" thickBot="1">
      <c r="A11" s="61"/>
      <c r="B11" s="62"/>
      <c r="C11" s="97" t="s">
        <v>56</v>
      </c>
      <c r="D11" s="97"/>
      <c r="E11" s="745" t="s">
        <v>156</v>
      </c>
      <c r="F11" s="821"/>
      <c r="G11" s="739" t="s">
        <v>156</v>
      </c>
      <c r="H11" s="714"/>
      <c r="I11" s="705" t="s">
        <v>156</v>
      </c>
      <c r="J11" s="714"/>
      <c r="K11" s="758" t="s">
        <v>156</v>
      </c>
      <c r="L11" s="844"/>
      <c r="M11" s="775" t="s">
        <v>156</v>
      </c>
      <c r="N11" s="822"/>
      <c r="O11" s="714" t="s">
        <v>156</v>
      </c>
      <c r="P11" s="705"/>
      <c r="Q11" s="669" t="s">
        <v>156</v>
      </c>
      <c r="R11" s="705"/>
      <c r="S11" s="797" t="s">
        <v>156</v>
      </c>
      <c r="T11" s="844"/>
      <c r="U11" s="745" t="s">
        <v>156</v>
      </c>
      <c r="V11" s="823"/>
      <c r="W11" s="714" t="s">
        <v>156</v>
      </c>
      <c r="X11" s="739"/>
      <c r="Y11" s="669" t="s">
        <v>156</v>
      </c>
      <c r="Z11" s="739"/>
      <c r="AA11" s="797" t="s">
        <v>156</v>
      </c>
      <c r="AB11" s="335"/>
      <c r="AC11" s="317" t="s">
        <v>336</v>
      </c>
      <c r="AD11" s="320"/>
      <c r="AE11" s="317" t="s">
        <v>337</v>
      </c>
      <c r="AF11" s="308"/>
      <c r="AG11" s="308"/>
      <c r="AH11" s="317" t="s">
        <v>156</v>
      </c>
      <c r="AL11" s="34"/>
      <c r="AM11" s="20"/>
      <c r="AN11" s="34"/>
      <c r="AO11" s="32"/>
      <c r="AP11" s="32"/>
    </row>
    <row r="12" spans="1:42" ht="15.75" customHeight="1">
      <c r="A12" s="55"/>
      <c r="B12" s="56"/>
      <c r="C12" s="98"/>
      <c r="D12" s="98"/>
      <c r="E12" s="542"/>
      <c r="F12" s="824"/>
      <c r="G12" s="825"/>
      <c r="H12" s="826"/>
      <c r="I12" s="706"/>
      <c r="J12" s="826"/>
      <c r="K12" s="862"/>
      <c r="L12" s="845"/>
      <c r="M12" s="827"/>
      <c r="N12" s="706"/>
      <c r="O12" s="826"/>
      <c r="P12" s="706"/>
      <c r="Q12" s="828"/>
      <c r="R12" s="706"/>
      <c r="S12" s="867"/>
      <c r="T12" s="845"/>
      <c r="U12" s="789"/>
      <c r="V12" s="829"/>
      <c r="W12" s="826"/>
      <c r="X12" s="825"/>
      <c r="Y12" s="828"/>
      <c r="Z12" s="825"/>
      <c r="AA12" s="867"/>
      <c r="AB12" s="335"/>
      <c r="AC12" s="438"/>
      <c r="AD12" s="324"/>
      <c r="AE12" s="321"/>
      <c r="AF12" s="308"/>
      <c r="AG12" s="308"/>
      <c r="AH12" s="321"/>
      <c r="AL12" s="3"/>
      <c r="AM12" s="20"/>
      <c r="AN12" s="3"/>
      <c r="AO12" s="32"/>
      <c r="AP12" s="32"/>
    </row>
    <row r="13" spans="1:42" ht="17.25" customHeight="1">
      <c r="A13" s="68">
        <v>1</v>
      </c>
      <c r="B13" s="14"/>
      <c r="C13" s="99" t="s">
        <v>14</v>
      </c>
      <c r="D13" s="99"/>
      <c r="E13" s="136">
        <f>+U13-M13</f>
        <v>8189.9</v>
      </c>
      <c r="F13" s="830"/>
      <c r="G13" s="127">
        <f>+W13-O13</f>
        <v>1342.8200000000002</v>
      </c>
      <c r="H13" s="715"/>
      <c r="I13" s="695">
        <f>+Y13-Q13</f>
        <v>478.3600000000001</v>
      </c>
      <c r="J13" s="715"/>
      <c r="K13" s="760">
        <f>+AE13-S13</f>
        <v>9523.720000000001</v>
      </c>
      <c r="L13" s="846"/>
      <c r="M13" s="776">
        <f>15554.1</f>
        <v>15554.1</v>
      </c>
      <c r="N13" s="670"/>
      <c r="O13" s="715">
        <f>2251.19</f>
        <v>2251.19</v>
      </c>
      <c r="P13" s="670"/>
      <c r="Q13" s="671">
        <f>1025.29</f>
        <v>1025.29</v>
      </c>
      <c r="R13" s="670"/>
      <c r="S13" s="798">
        <f>+M13+O13+Q13</f>
        <v>18830.58</v>
      </c>
      <c r="T13" s="846"/>
      <c r="U13" s="327">
        <f>23744</f>
        <v>23744</v>
      </c>
      <c r="V13" s="340"/>
      <c r="W13" s="715">
        <f>3594.01</f>
        <v>3594.01</v>
      </c>
      <c r="X13" s="502"/>
      <c r="Y13" s="671">
        <f>1503.65</f>
        <v>1503.65</v>
      </c>
      <c r="Z13" s="502"/>
      <c r="AA13" s="798">
        <f>+U13+W13+Y13</f>
        <v>28841.660000000003</v>
      </c>
      <c r="AB13" s="326"/>
      <c r="AC13" s="325">
        <f>90.06+397.3</f>
        <v>487.36</v>
      </c>
      <c r="AD13" s="329"/>
      <c r="AE13" s="325">
        <f>+AA13-AC13</f>
        <v>28354.300000000003</v>
      </c>
      <c r="AF13" s="326"/>
      <c r="AG13" s="326"/>
      <c r="AH13" s="325">
        <v>9726.16</v>
      </c>
      <c r="AL13" s="289"/>
      <c r="AM13" s="118"/>
      <c r="AN13" s="290"/>
      <c r="AO13" s="32"/>
      <c r="AP13" s="32"/>
    </row>
    <row r="14" spans="1:42" ht="17.25" customHeight="1">
      <c r="A14" s="68">
        <f>+A13+1</f>
        <v>2</v>
      </c>
      <c r="B14" s="14"/>
      <c r="C14" s="100" t="s">
        <v>63</v>
      </c>
      <c r="D14" s="100"/>
      <c r="E14" s="411"/>
      <c r="F14" s="831"/>
      <c r="G14" s="740"/>
      <c r="H14" s="715"/>
      <c r="I14" s="734"/>
      <c r="J14" s="715"/>
      <c r="K14" s="863"/>
      <c r="L14" s="846"/>
      <c r="M14" s="776"/>
      <c r="N14" s="670"/>
      <c r="O14" s="715"/>
      <c r="P14" s="670"/>
      <c r="Q14" s="671"/>
      <c r="R14" s="670"/>
      <c r="S14" s="868"/>
      <c r="T14" s="846"/>
      <c r="U14" s="327"/>
      <c r="V14" s="340"/>
      <c r="W14" s="715"/>
      <c r="X14" s="502"/>
      <c r="Y14" s="671"/>
      <c r="Z14" s="502"/>
      <c r="AA14" s="868"/>
      <c r="AB14" s="326"/>
      <c r="AC14" s="325"/>
      <c r="AD14" s="329"/>
      <c r="AE14" s="325"/>
      <c r="AF14" s="326"/>
      <c r="AG14" s="326"/>
      <c r="AH14" s="325"/>
      <c r="AL14" s="289"/>
      <c r="AM14" s="118"/>
      <c r="AN14" s="290"/>
      <c r="AO14" s="32"/>
      <c r="AP14" s="32"/>
    </row>
    <row r="15" spans="1:42" ht="17.25" customHeight="1">
      <c r="A15" s="68"/>
      <c r="B15" s="14"/>
      <c r="C15" s="100" t="s">
        <v>64</v>
      </c>
      <c r="D15" s="100"/>
      <c r="E15" s="136">
        <f>+U15-M15</f>
        <v>0</v>
      </c>
      <c r="F15" s="831"/>
      <c r="G15" s="127">
        <f>+W15-O15</f>
        <v>0</v>
      </c>
      <c r="H15" s="307"/>
      <c r="I15" s="695">
        <f>+Y15-Q15</f>
        <v>0</v>
      </c>
      <c r="J15" s="307"/>
      <c r="K15" s="760">
        <f>+AE15-S15</f>
        <v>0</v>
      </c>
      <c r="L15" s="847"/>
      <c r="M15" s="777">
        <f>49.47</f>
        <v>49.47</v>
      </c>
      <c r="N15" s="832"/>
      <c r="O15" s="715">
        <v>0</v>
      </c>
      <c r="P15" s="670"/>
      <c r="Q15" s="671">
        <v>0</v>
      </c>
      <c r="R15" s="707"/>
      <c r="S15" s="798">
        <f>+M15+O15+Q15</f>
        <v>49.47</v>
      </c>
      <c r="T15" s="847"/>
      <c r="U15" s="331">
        <v>49.47</v>
      </c>
      <c r="V15" s="340"/>
      <c r="W15" s="715">
        <v>0</v>
      </c>
      <c r="X15" s="502"/>
      <c r="Y15" s="671">
        <v>0</v>
      </c>
      <c r="Z15" s="340"/>
      <c r="AA15" s="798">
        <f>+U15+W15+Y15</f>
        <v>49.47</v>
      </c>
      <c r="AB15" s="326"/>
      <c r="AC15" s="330">
        <v>0</v>
      </c>
      <c r="AD15" s="294"/>
      <c r="AE15" s="325">
        <f>+AA15-AC15</f>
        <v>49.47</v>
      </c>
      <c r="AF15" s="326"/>
      <c r="AG15" s="326"/>
      <c r="AH15" s="330">
        <v>0</v>
      </c>
      <c r="AL15" s="291"/>
      <c r="AM15" s="121"/>
      <c r="AN15" s="292"/>
      <c r="AO15" s="32"/>
      <c r="AP15" s="32"/>
    </row>
    <row r="16" spans="1:42" ht="17.25" customHeight="1">
      <c r="A16" s="69">
        <f>+A14+1</f>
        <v>3</v>
      </c>
      <c r="B16" s="14"/>
      <c r="C16" s="100" t="s">
        <v>260</v>
      </c>
      <c r="D16" s="100"/>
      <c r="E16" s="136">
        <f>+U16-M16</f>
        <v>362.58000000000004</v>
      </c>
      <c r="F16" s="831"/>
      <c r="G16" s="127">
        <f>+W16-O16</f>
        <v>17.389999999999997</v>
      </c>
      <c r="H16" s="307"/>
      <c r="I16" s="695">
        <f>+Y16-Q16</f>
        <v>51.41000000000001</v>
      </c>
      <c r="J16" s="307"/>
      <c r="K16" s="760">
        <f>+AE16-S16</f>
        <v>431.3799999999999</v>
      </c>
      <c r="L16" s="847"/>
      <c r="M16" s="778">
        <f>867.86</f>
        <v>867.86</v>
      </c>
      <c r="N16" s="832"/>
      <c r="O16" s="715">
        <f>14.73</f>
        <v>14.73</v>
      </c>
      <c r="P16" s="670"/>
      <c r="Q16" s="671">
        <f>93.17</f>
        <v>93.17</v>
      </c>
      <c r="R16" s="707"/>
      <c r="S16" s="798">
        <f>+M16+O16+Q16</f>
        <v>975.76</v>
      </c>
      <c r="T16" s="847"/>
      <c r="U16" s="331">
        <f>1230.44</f>
        <v>1230.44</v>
      </c>
      <c r="V16" s="340"/>
      <c r="W16" s="715">
        <f>32.12</f>
        <v>32.12</v>
      </c>
      <c r="X16" s="502"/>
      <c r="Y16" s="671">
        <f>144.58</f>
        <v>144.58</v>
      </c>
      <c r="Z16" s="340"/>
      <c r="AA16" s="798">
        <f>+U16+W16+Y16</f>
        <v>1407.1399999999999</v>
      </c>
      <c r="AB16" s="326"/>
      <c r="AC16" s="330">
        <v>0</v>
      </c>
      <c r="AD16" s="294"/>
      <c r="AE16" s="325">
        <f>+AA16-AC16</f>
        <v>1407.1399999999999</v>
      </c>
      <c r="AF16" s="326"/>
      <c r="AG16" s="326"/>
      <c r="AH16" s="274">
        <v>464.9</v>
      </c>
      <c r="AL16" s="291"/>
      <c r="AM16" s="121"/>
      <c r="AN16" s="292"/>
      <c r="AO16" s="32"/>
      <c r="AP16" s="32"/>
    </row>
    <row r="17" spans="1:42" ht="17.25" customHeight="1">
      <c r="A17" s="69">
        <f>+A16+1</f>
        <v>4</v>
      </c>
      <c r="B17" s="14"/>
      <c r="C17" s="9" t="s">
        <v>65</v>
      </c>
      <c r="D17" s="9"/>
      <c r="E17" s="333">
        <f>SUM(E13:E16)</f>
        <v>8552.48</v>
      </c>
      <c r="F17" s="118"/>
      <c r="G17" s="504">
        <f>SUM(G13:G16)</f>
        <v>1360.2100000000003</v>
      </c>
      <c r="H17" s="715"/>
      <c r="I17" s="708">
        <f>SUM(I13:I16)</f>
        <v>529.7700000000001</v>
      </c>
      <c r="J17" s="715"/>
      <c r="K17" s="759">
        <f>SUM(K13:K16)</f>
        <v>9955.1</v>
      </c>
      <c r="L17" s="846"/>
      <c r="M17" s="779">
        <f>SUM(M13:M16)</f>
        <v>16471.43</v>
      </c>
      <c r="N17" s="690"/>
      <c r="O17" s="716">
        <f>SUM(O13:O16)</f>
        <v>2265.92</v>
      </c>
      <c r="P17" s="670"/>
      <c r="Q17" s="672">
        <f>SUM(Q13:Q16)</f>
        <v>1118.46</v>
      </c>
      <c r="R17" s="670"/>
      <c r="S17" s="799">
        <f>SUM(S13:S16)</f>
        <v>19855.81</v>
      </c>
      <c r="T17" s="846"/>
      <c r="U17" s="333">
        <f>SUM(U13:U16)</f>
        <v>25023.91</v>
      </c>
      <c r="V17" s="340"/>
      <c r="W17" s="716">
        <f>SUM(W13:W16)</f>
        <v>3626.13</v>
      </c>
      <c r="X17" s="502"/>
      <c r="Y17" s="672">
        <f>SUM(Y13:Y16)</f>
        <v>1648.23</v>
      </c>
      <c r="Z17" s="502"/>
      <c r="AA17" s="799">
        <f>SUM(AA13:AA16)</f>
        <v>30298.270000000004</v>
      </c>
      <c r="AB17" s="326"/>
      <c r="AC17" s="332">
        <f>SUM(AC13:AC16)</f>
        <v>487.36</v>
      </c>
      <c r="AD17" s="329"/>
      <c r="AE17" s="332">
        <f>SUM(AE13:AE16)</f>
        <v>29810.910000000003</v>
      </c>
      <c r="AF17" s="326"/>
      <c r="AG17" s="326"/>
      <c r="AH17" s="332">
        <f>SUM(AH13:AH16)</f>
        <v>10191.06</v>
      </c>
      <c r="AL17" s="289"/>
      <c r="AM17" s="115"/>
      <c r="AN17" s="290"/>
      <c r="AO17" s="32"/>
      <c r="AP17" s="32"/>
    </row>
    <row r="18" spans="1:42" ht="17.25" customHeight="1">
      <c r="A18" s="68">
        <f>+A17+1</f>
        <v>5</v>
      </c>
      <c r="B18" s="14"/>
      <c r="C18" s="9" t="s">
        <v>57</v>
      </c>
      <c r="D18" s="9"/>
      <c r="E18" s="134"/>
      <c r="F18" s="118"/>
      <c r="G18" s="508"/>
      <c r="H18" s="715"/>
      <c r="I18" s="690"/>
      <c r="J18" s="715"/>
      <c r="K18" s="760"/>
      <c r="L18" s="846"/>
      <c r="M18" s="780"/>
      <c r="N18" s="690"/>
      <c r="O18" s="715"/>
      <c r="P18" s="670"/>
      <c r="Q18" s="671"/>
      <c r="R18" s="670"/>
      <c r="S18" s="798"/>
      <c r="T18" s="846"/>
      <c r="U18" s="327"/>
      <c r="V18" s="340"/>
      <c r="W18" s="715"/>
      <c r="X18" s="502"/>
      <c r="Y18" s="671"/>
      <c r="Z18" s="502"/>
      <c r="AA18" s="798"/>
      <c r="AB18" s="326"/>
      <c r="AC18" s="325"/>
      <c r="AD18" s="329"/>
      <c r="AE18" s="325"/>
      <c r="AF18" s="326"/>
      <c r="AG18" s="326"/>
      <c r="AH18" s="325"/>
      <c r="AL18" s="289"/>
      <c r="AM18" s="115"/>
      <c r="AN18" s="290"/>
      <c r="AO18" s="32"/>
      <c r="AP18" s="32"/>
    </row>
    <row r="19" spans="1:42" ht="17.25" customHeight="1">
      <c r="A19" s="68"/>
      <c r="B19" s="14"/>
      <c r="C19" s="14" t="s">
        <v>226</v>
      </c>
      <c r="D19" s="14"/>
      <c r="E19" s="136">
        <f>+U19-M19</f>
        <v>-233.16000000000003</v>
      </c>
      <c r="F19" s="121"/>
      <c r="G19" s="127">
        <f>+W19-O19</f>
        <v>-218.39000000000001</v>
      </c>
      <c r="H19" s="307"/>
      <c r="I19" s="695">
        <f>+Y19-Q19</f>
        <v>3.780000000000001</v>
      </c>
      <c r="J19" s="307"/>
      <c r="K19" s="760">
        <f>+AE19-S19</f>
        <v>-447.7700000000001</v>
      </c>
      <c r="L19" s="847"/>
      <c r="M19" s="781">
        <v>-392.95</v>
      </c>
      <c r="N19" s="695"/>
      <c r="O19" s="715">
        <f>-214.39+214.39-252.17</f>
        <v>-252.17</v>
      </c>
      <c r="P19" s="670"/>
      <c r="Q19" s="671">
        <v>-56.01</v>
      </c>
      <c r="R19" s="707"/>
      <c r="S19" s="798">
        <f>+M19+O19+Q19</f>
        <v>-701.13</v>
      </c>
      <c r="T19" s="847"/>
      <c r="U19" s="331">
        <v>-626.11</v>
      </c>
      <c r="V19" s="340"/>
      <c r="W19" s="715">
        <v>-470.56</v>
      </c>
      <c r="X19" s="502"/>
      <c r="Y19" s="671">
        <v>-52.23</v>
      </c>
      <c r="Z19" s="340"/>
      <c r="AA19" s="798">
        <f>+U19+W19+Y19</f>
        <v>-1148.9</v>
      </c>
      <c r="AB19" s="326"/>
      <c r="AC19" s="330">
        <v>0</v>
      </c>
      <c r="AD19" s="294"/>
      <c r="AE19" s="330">
        <f>+AA19-AC19</f>
        <v>-1148.9</v>
      </c>
      <c r="AF19" s="326"/>
      <c r="AG19" s="326"/>
      <c r="AH19" s="330">
        <v>-992.2</v>
      </c>
      <c r="AL19" s="291"/>
      <c r="AM19" s="121"/>
      <c r="AN19" s="292"/>
      <c r="AO19" s="32"/>
      <c r="AP19" s="32"/>
    </row>
    <row r="20" spans="1:42" ht="17.25" customHeight="1">
      <c r="A20" s="68"/>
      <c r="B20" s="14"/>
      <c r="C20" s="14" t="s">
        <v>19</v>
      </c>
      <c r="D20" s="14"/>
      <c r="E20" s="136">
        <f>+U20-M20</f>
        <v>3914.91</v>
      </c>
      <c r="F20" s="121"/>
      <c r="G20" s="127">
        <f>+W20-O20</f>
        <v>-29.459999999999997</v>
      </c>
      <c r="H20" s="307"/>
      <c r="I20" s="695">
        <f>+Y20-Q20</f>
        <v>134.07</v>
      </c>
      <c r="J20" s="307"/>
      <c r="K20" s="760">
        <f>+AE20-S20</f>
        <v>3622.220000000002</v>
      </c>
      <c r="L20" s="847"/>
      <c r="M20" s="781">
        <f>7361.4</f>
        <v>7361.4</v>
      </c>
      <c r="N20" s="695"/>
      <c r="O20" s="715">
        <f>11.55-11.55+49.33</f>
        <v>49.33</v>
      </c>
      <c r="P20" s="670"/>
      <c r="Q20" s="671">
        <f>445.54</f>
        <v>445.54</v>
      </c>
      <c r="R20" s="707"/>
      <c r="S20" s="798">
        <f>+M20+O20+Q20</f>
        <v>7856.2699999999995</v>
      </c>
      <c r="T20" s="847"/>
      <c r="U20" s="331">
        <f>11276.31</f>
        <v>11276.31</v>
      </c>
      <c r="V20" s="340"/>
      <c r="W20" s="715">
        <v>19.87</v>
      </c>
      <c r="X20" s="502"/>
      <c r="Y20" s="671">
        <f>579.61</f>
        <v>579.61</v>
      </c>
      <c r="Z20" s="340"/>
      <c r="AA20" s="798">
        <f>+U20+W20+Y20</f>
        <v>11875.79</v>
      </c>
      <c r="AB20" s="326"/>
      <c r="AC20" s="330">
        <v>397.3</v>
      </c>
      <c r="AD20" s="294"/>
      <c r="AE20" s="330">
        <f>+AA20-AC20</f>
        <v>11478.490000000002</v>
      </c>
      <c r="AF20" s="326"/>
      <c r="AG20" s="326"/>
      <c r="AH20" s="330">
        <v>4722.3</v>
      </c>
      <c r="AL20" s="291"/>
      <c r="AM20" s="121"/>
      <c r="AN20" s="292"/>
      <c r="AO20" s="32"/>
      <c r="AP20" s="32"/>
    </row>
    <row r="21" spans="1:42" ht="17.25" customHeight="1">
      <c r="A21" s="68"/>
      <c r="B21" s="14"/>
      <c r="C21" s="14" t="s">
        <v>20</v>
      </c>
      <c r="D21" s="14"/>
      <c r="E21" s="136">
        <f>+U21-M21</f>
        <v>152.8</v>
      </c>
      <c r="F21" s="121"/>
      <c r="G21" s="127">
        <f>+W21-O21</f>
        <v>922.04</v>
      </c>
      <c r="H21" s="307"/>
      <c r="I21" s="695">
        <f>+Y21-Q21</f>
        <v>13.45</v>
      </c>
      <c r="J21" s="307"/>
      <c r="K21" s="760">
        <f>+AE21-S21</f>
        <v>998.2300000000002</v>
      </c>
      <c r="L21" s="847"/>
      <c r="M21" s="781">
        <f>125.14</f>
        <v>125.14</v>
      </c>
      <c r="N21" s="695"/>
      <c r="O21" s="715">
        <f>1381.15</f>
        <v>1381.15</v>
      </c>
      <c r="P21" s="670"/>
      <c r="Q21" s="671">
        <f>31.37</f>
        <v>31.37</v>
      </c>
      <c r="R21" s="707"/>
      <c r="S21" s="798">
        <f>+M21+O21+Q21</f>
        <v>1537.66</v>
      </c>
      <c r="T21" s="847"/>
      <c r="U21" s="331">
        <f>277.94</f>
        <v>277.94</v>
      </c>
      <c r="V21" s="340"/>
      <c r="W21" s="715">
        <f>2303.19</f>
        <v>2303.19</v>
      </c>
      <c r="X21" s="502"/>
      <c r="Y21" s="671">
        <f>44.82</f>
        <v>44.82</v>
      </c>
      <c r="Z21" s="340"/>
      <c r="AA21" s="798">
        <f>+U21+W21+Y21</f>
        <v>2625.9500000000003</v>
      </c>
      <c r="AB21" s="326"/>
      <c r="AC21" s="330">
        <v>90.06</v>
      </c>
      <c r="AD21" s="294"/>
      <c r="AE21" s="330">
        <f>+AA21-AC21</f>
        <v>2535.8900000000003</v>
      </c>
      <c r="AF21" s="326"/>
      <c r="AG21" s="326"/>
      <c r="AH21" s="330">
        <v>738.63</v>
      </c>
      <c r="AL21" s="291"/>
      <c r="AM21" s="121"/>
      <c r="AN21" s="292"/>
      <c r="AO21" s="32"/>
      <c r="AP21" s="32"/>
    </row>
    <row r="22" spans="1:42" ht="17.25" customHeight="1">
      <c r="A22" s="68"/>
      <c r="B22" s="14"/>
      <c r="C22" s="100" t="s">
        <v>15</v>
      </c>
      <c r="D22" s="100"/>
      <c r="E22" s="136">
        <f>+U22-M22</f>
        <v>1092.81</v>
      </c>
      <c r="F22" s="831"/>
      <c r="G22" s="127">
        <f>+W22-O22</f>
        <v>225.42999999999995</v>
      </c>
      <c r="H22" s="307"/>
      <c r="I22" s="695">
        <f>+Y22-Q22</f>
        <v>61.86999999999999</v>
      </c>
      <c r="J22" s="307"/>
      <c r="K22" s="760">
        <f>+AE22-S22</f>
        <v>1380.1100000000001</v>
      </c>
      <c r="L22" s="847"/>
      <c r="M22" s="781">
        <f>2142.57</f>
        <v>2142.57</v>
      </c>
      <c r="N22" s="832"/>
      <c r="O22" s="715">
        <f>423.72</f>
        <v>423.72</v>
      </c>
      <c r="P22" s="670"/>
      <c r="Q22" s="671">
        <f>115.51</f>
        <v>115.51</v>
      </c>
      <c r="R22" s="707"/>
      <c r="S22" s="798">
        <f>+M22+O22+Q22</f>
        <v>2681.8</v>
      </c>
      <c r="T22" s="847"/>
      <c r="U22" s="331">
        <f>3235.38</f>
        <v>3235.38</v>
      </c>
      <c r="V22" s="340"/>
      <c r="W22" s="715">
        <f>649.15</f>
        <v>649.15</v>
      </c>
      <c r="X22" s="502"/>
      <c r="Y22" s="671">
        <f>177.38</f>
        <v>177.38</v>
      </c>
      <c r="Z22" s="340"/>
      <c r="AA22" s="798">
        <f>+U22+W22+Y22</f>
        <v>4061.9100000000003</v>
      </c>
      <c r="AB22" s="326"/>
      <c r="AC22" s="330"/>
      <c r="AD22" s="294"/>
      <c r="AE22" s="330">
        <f>+AA22-AC22</f>
        <v>4061.9100000000003</v>
      </c>
      <c r="AF22" s="326"/>
      <c r="AG22" s="326"/>
      <c r="AH22" s="330">
        <v>1424.59</v>
      </c>
      <c r="AL22" s="291"/>
      <c r="AM22" s="121"/>
      <c r="AN22" s="292"/>
      <c r="AO22" s="32"/>
      <c r="AP22" s="32"/>
    </row>
    <row r="23" spans="1:42" ht="17.25" customHeight="1">
      <c r="A23" s="68"/>
      <c r="B23" s="14"/>
      <c r="C23" s="100" t="s">
        <v>259</v>
      </c>
      <c r="D23" s="100"/>
      <c r="E23" s="136">
        <f>+U23-M23</f>
        <v>2748.63</v>
      </c>
      <c r="F23" s="831"/>
      <c r="G23" s="127">
        <f>+W23-O23</f>
        <v>344.81000000000006</v>
      </c>
      <c r="H23" s="307"/>
      <c r="I23" s="695">
        <f>+Y23-Q23</f>
        <v>198.87999999999988</v>
      </c>
      <c r="J23" s="307"/>
      <c r="K23" s="760">
        <f>+AE23-S23</f>
        <v>3292.3200000000006</v>
      </c>
      <c r="L23" s="847"/>
      <c r="M23" s="782">
        <f>5298.61</f>
        <v>5298.61</v>
      </c>
      <c r="N23" s="832"/>
      <c r="O23" s="715">
        <f>421.38</f>
        <v>421.38</v>
      </c>
      <c r="P23" s="670"/>
      <c r="Q23" s="671">
        <f>466.38</f>
        <v>466.38</v>
      </c>
      <c r="R23" s="707"/>
      <c r="S23" s="798">
        <f>+M23+O23+Q23</f>
        <v>6186.37</v>
      </c>
      <c r="T23" s="847"/>
      <c r="U23" s="331">
        <f>8047.24</f>
        <v>8047.24</v>
      </c>
      <c r="V23" s="340"/>
      <c r="W23" s="715">
        <f>3267.84-SUM(W19:W22)</f>
        <v>766.19</v>
      </c>
      <c r="X23" s="502"/>
      <c r="Y23" s="671">
        <f>1414.84-SUM(Y19:Y22)</f>
        <v>665.2599999999999</v>
      </c>
      <c r="Z23" s="340"/>
      <c r="AA23" s="798">
        <f>+U23+W23+Y23</f>
        <v>9478.69</v>
      </c>
      <c r="AB23" s="326"/>
      <c r="AC23" s="330"/>
      <c r="AD23" s="294"/>
      <c r="AE23" s="330">
        <f>+AA23-AC23</f>
        <v>9478.69</v>
      </c>
      <c r="AF23" s="326"/>
      <c r="AG23" s="326"/>
      <c r="AH23" s="330">
        <v>3606.69</v>
      </c>
      <c r="AL23" s="291"/>
      <c r="AM23" s="121"/>
      <c r="AN23" s="292"/>
      <c r="AO23" s="32"/>
      <c r="AP23" s="32"/>
    </row>
    <row r="24" spans="1:42" ht="17.25" customHeight="1">
      <c r="A24" s="68"/>
      <c r="B24" s="14"/>
      <c r="C24" s="14" t="s">
        <v>30</v>
      </c>
      <c r="D24" s="14"/>
      <c r="E24" s="333">
        <f>SUM(E19:E23)</f>
        <v>7675.990000000001</v>
      </c>
      <c r="F24" s="121"/>
      <c r="G24" s="504">
        <f>SUM(G19:G23)</f>
        <v>1244.4299999999998</v>
      </c>
      <c r="H24" s="715"/>
      <c r="I24" s="708">
        <f>SUM(I19:I23)</f>
        <v>412.04999999999984</v>
      </c>
      <c r="J24" s="715"/>
      <c r="K24" s="759">
        <f>SUM(K19:K23)</f>
        <v>8845.110000000004</v>
      </c>
      <c r="L24" s="846"/>
      <c r="M24" s="779">
        <f>SUM(M19:M23)</f>
        <v>14534.77</v>
      </c>
      <c r="N24" s="695"/>
      <c r="O24" s="716">
        <f>SUM(O19:O23)</f>
        <v>2023.4100000000003</v>
      </c>
      <c r="P24" s="670"/>
      <c r="Q24" s="672">
        <f>SUM(Q19:Q23)</f>
        <v>1002.7900000000001</v>
      </c>
      <c r="R24" s="670"/>
      <c r="S24" s="799">
        <f>SUM(S19:S23)</f>
        <v>17560.969999999998</v>
      </c>
      <c r="T24" s="846"/>
      <c r="U24" s="333">
        <f>SUM(U19:U23)</f>
        <v>22210.760000000002</v>
      </c>
      <c r="V24" s="340"/>
      <c r="W24" s="716">
        <f>SUM(W19:W23)</f>
        <v>3267.84</v>
      </c>
      <c r="X24" s="502"/>
      <c r="Y24" s="672">
        <f>SUM(Y19:Y23)</f>
        <v>1414.84</v>
      </c>
      <c r="Z24" s="502"/>
      <c r="AA24" s="799">
        <f>SUM(AA19:AA23)</f>
        <v>26893.440000000002</v>
      </c>
      <c r="AB24" s="326"/>
      <c r="AC24" s="332">
        <f>SUM(AC19:AC23)</f>
        <v>487.36</v>
      </c>
      <c r="AD24" s="329"/>
      <c r="AE24" s="332">
        <f>SUM(AE19:AE23)</f>
        <v>26406.08</v>
      </c>
      <c r="AF24" s="326"/>
      <c r="AG24" s="326"/>
      <c r="AH24" s="332">
        <f>SUM(AH19:AH23)</f>
        <v>9500.01</v>
      </c>
      <c r="AL24" s="289"/>
      <c r="AM24" s="115"/>
      <c r="AN24" s="290"/>
      <c r="AO24" s="32"/>
      <c r="AP24" s="32"/>
    </row>
    <row r="25" spans="1:42" ht="17.25" customHeight="1">
      <c r="A25" s="68">
        <f>+A18+1</f>
        <v>6</v>
      </c>
      <c r="B25" s="14"/>
      <c r="C25" s="100" t="s">
        <v>58</v>
      </c>
      <c r="D25" s="100"/>
      <c r="E25" s="136">
        <f>+U25-M25</f>
        <v>131.93</v>
      </c>
      <c r="F25" s="831"/>
      <c r="G25" s="127">
        <f>+W25-O25</f>
        <v>31.909999999999997</v>
      </c>
      <c r="H25" s="307"/>
      <c r="I25" s="695">
        <f>+Y25-Q25</f>
        <v>-0.3600000000000003</v>
      </c>
      <c r="J25" s="307"/>
      <c r="K25" s="760">
        <f>+AE25-S25</f>
        <v>163.47999999999996</v>
      </c>
      <c r="L25" s="847"/>
      <c r="M25" s="781">
        <f>303.61</f>
        <v>303.61</v>
      </c>
      <c r="N25" s="832"/>
      <c r="O25" s="715">
        <f>73.84</f>
        <v>73.84</v>
      </c>
      <c r="P25" s="670"/>
      <c r="Q25" s="671">
        <f>3.18</f>
        <v>3.18</v>
      </c>
      <c r="R25" s="707"/>
      <c r="S25" s="798">
        <f>+M25+O25+Q25</f>
        <v>380.63000000000005</v>
      </c>
      <c r="T25" s="847"/>
      <c r="U25" s="331">
        <f>435.54</f>
        <v>435.54</v>
      </c>
      <c r="V25" s="340"/>
      <c r="W25" s="715">
        <f>105.75</f>
        <v>105.75</v>
      </c>
      <c r="X25" s="502"/>
      <c r="Y25" s="671">
        <f>2.82</f>
        <v>2.82</v>
      </c>
      <c r="Z25" s="340"/>
      <c r="AA25" s="798">
        <f>+U25+W25+Y25</f>
        <v>544.11</v>
      </c>
      <c r="AB25" s="326"/>
      <c r="AC25" s="330">
        <v>0</v>
      </c>
      <c r="AD25" s="294"/>
      <c r="AE25" s="325">
        <f>+AA25-AC25</f>
        <v>544.11</v>
      </c>
      <c r="AF25" s="326"/>
      <c r="AG25" s="326"/>
      <c r="AH25" s="330">
        <v>232.88</v>
      </c>
      <c r="AK25" s="83"/>
      <c r="AL25" s="291"/>
      <c r="AM25" s="121"/>
      <c r="AN25" s="292"/>
      <c r="AO25" s="32"/>
      <c r="AP25" s="32"/>
    </row>
    <row r="26" spans="1:42" ht="17.25" customHeight="1">
      <c r="A26" s="68">
        <f>+A25+1</f>
        <v>7</v>
      </c>
      <c r="B26" s="14"/>
      <c r="C26" s="100" t="s">
        <v>163</v>
      </c>
      <c r="D26" s="100"/>
      <c r="E26" s="136"/>
      <c r="F26" s="831"/>
      <c r="G26" s="127"/>
      <c r="H26" s="307"/>
      <c r="I26" s="695"/>
      <c r="J26" s="307"/>
      <c r="K26" s="760"/>
      <c r="L26" s="847"/>
      <c r="M26" s="781"/>
      <c r="N26" s="832"/>
      <c r="O26" s="307"/>
      <c r="P26" s="707"/>
      <c r="Q26" s="833"/>
      <c r="R26" s="707"/>
      <c r="S26" s="798"/>
      <c r="T26" s="847"/>
      <c r="U26" s="331"/>
      <c r="V26" s="340"/>
      <c r="W26" s="307"/>
      <c r="X26" s="340"/>
      <c r="Y26" s="833"/>
      <c r="Z26" s="340"/>
      <c r="AA26" s="798"/>
      <c r="AB26" s="230"/>
      <c r="AC26" s="334"/>
      <c r="AD26" s="335"/>
      <c r="AE26" s="334"/>
      <c r="AF26" s="335"/>
      <c r="AG26" s="335"/>
      <c r="AH26" s="334"/>
      <c r="AL26" s="32"/>
      <c r="AM26" s="32"/>
      <c r="AN26" s="32"/>
      <c r="AO26" s="32"/>
      <c r="AP26" s="32"/>
    </row>
    <row r="27" spans="1:42" ht="17.25" customHeight="1">
      <c r="A27" s="68"/>
      <c r="B27" s="14"/>
      <c r="C27" s="100" t="s">
        <v>192</v>
      </c>
      <c r="D27" s="100"/>
      <c r="E27" s="136">
        <f>+U27-M27</f>
        <v>-201.22000000000003</v>
      </c>
      <c r="F27" s="831"/>
      <c r="G27" s="127">
        <f>+W27-O27</f>
        <v>4.890000000000001</v>
      </c>
      <c r="H27" s="307"/>
      <c r="I27" s="695">
        <f>+Y27-Q27</f>
        <v>0</v>
      </c>
      <c r="J27" s="307"/>
      <c r="K27" s="760">
        <f>+AE27-S27</f>
        <v>-217.49</v>
      </c>
      <c r="L27" s="847"/>
      <c r="M27" s="781">
        <v>225.11</v>
      </c>
      <c r="N27" s="832"/>
      <c r="O27" s="715">
        <f>9.78</f>
        <v>9.78</v>
      </c>
      <c r="P27" s="670"/>
      <c r="Q27" s="671">
        <v>0</v>
      </c>
      <c r="R27" s="707"/>
      <c r="S27" s="798">
        <f>+M27+O27+Q27</f>
        <v>234.89000000000001</v>
      </c>
      <c r="T27" s="847"/>
      <c r="U27" s="130">
        <f>23.89</f>
        <v>23.89</v>
      </c>
      <c r="V27" s="340"/>
      <c r="W27" s="503">
        <f>14.67</f>
        <v>14.67</v>
      </c>
      <c r="X27" s="502"/>
      <c r="Y27" s="794">
        <v>0</v>
      </c>
      <c r="Z27" s="340"/>
      <c r="AA27" s="798">
        <f>+U27+W27+Y27</f>
        <v>38.56</v>
      </c>
      <c r="AB27" s="326"/>
      <c r="AC27" s="274">
        <v>21.16</v>
      </c>
      <c r="AD27" s="294"/>
      <c r="AE27" s="274">
        <f>+AA27-AC27</f>
        <v>17.400000000000002</v>
      </c>
      <c r="AF27" s="326"/>
      <c r="AG27" s="326"/>
      <c r="AH27" s="274">
        <v>9.97</v>
      </c>
      <c r="AL27" s="291"/>
      <c r="AM27" s="121"/>
      <c r="AN27" s="292"/>
      <c r="AO27" s="32"/>
      <c r="AP27" s="32"/>
    </row>
    <row r="28" spans="1:42" ht="30" customHeight="1">
      <c r="A28" s="353">
        <f>+A26+1</f>
        <v>8</v>
      </c>
      <c r="B28" s="14"/>
      <c r="C28" s="395" t="s">
        <v>204</v>
      </c>
      <c r="D28" s="396"/>
      <c r="E28" s="746">
        <f>+E17-E24-E25-E27</f>
        <v>945.7799999999988</v>
      </c>
      <c r="F28" s="830"/>
      <c r="G28" s="741">
        <f>+G17-G24-G25-G27</f>
        <v>78.98000000000043</v>
      </c>
      <c r="H28" s="717"/>
      <c r="I28" s="735">
        <f>+I17-I24-I25-I27</f>
        <v>118.08000000000025</v>
      </c>
      <c r="J28" s="717"/>
      <c r="K28" s="761">
        <f>+K17-K24-K25-K27</f>
        <v>1163.9999999999961</v>
      </c>
      <c r="L28" s="848"/>
      <c r="M28" s="783">
        <f>+M17-M24-M25-M27</f>
        <v>1407.9399999999996</v>
      </c>
      <c r="N28" s="834"/>
      <c r="O28" s="792">
        <f>+O17-O24-O25-O27</f>
        <v>158.88999999999976</v>
      </c>
      <c r="P28" s="710"/>
      <c r="Q28" s="673">
        <f>+Q17-Q24-Q25-Q27</f>
        <v>112.48999999999995</v>
      </c>
      <c r="R28" s="710"/>
      <c r="S28" s="800">
        <f>+S17-S24-S25-S27</f>
        <v>1679.3200000000036</v>
      </c>
      <c r="T28" s="848"/>
      <c r="U28" s="356">
        <f>+U17-U24-U25-U27</f>
        <v>2353.719999999998</v>
      </c>
      <c r="V28" s="505"/>
      <c r="W28" s="717">
        <f>+W17-W24-W25-W27</f>
        <v>237.86999999999998</v>
      </c>
      <c r="X28" s="505"/>
      <c r="Y28" s="795">
        <f>+Y17-Y24-Y25-Y27</f>
        <v>230.5700000000001</v>
      </c>
      <c r="Z28" s="505"/>
      <c r="AA28" s="800">
        <f>+AA17-AA24-AA25-AA27</f>
        <v>2822.1600000000017</v>
      </c>
      <c r="AB28" s="357"/>
      <c r="AC28" s="356">
        <f>+AC17-AC24-AC25-AC27</f>
        <v>-21.16</v>
      </c>
      <c r="AD28" s="329"/>
      <c r="AE28" s="356">
        <f>+AE17-AE24-AE25-AE27</f>
        <v>2843.3200000000015</v>
      </c>
      <c r="AF28" s="336"/>
      <c r="AG28" s="336"/>
      <c r="AH28" s="354">
        <f>+AH17-AH24-AH25-AH27</f>
        <v>448.19999999999925</v>
      </c>
      <c r="AL28" s="291"/>
      <c r="AM28" s="121"/>
      <c r="AN28" s="292"/>
      <c r="AO28" s="32"/>
      <c r="AP28" s="32"/>
    </row>
    <row r="29" spans="1:42" ht="17.25" customHeight="1">
      <c r="A29" s="68">
        <f aca="true" t="shared" si="0" ref="A29:A34">+A28+1</f>
        <v>9</v>
      </c>
      <c r="B29" s="14"/>
      <c r="C29" s="100" t="s">
        <v>67</v>
      </c>
      <c r="D29" s="100"/>
      <c r="E29" s="136">
        <f>+U29-M29</f>
        <v>467.63</v>
      </c>
      <c r="F29" s="831"/>
      <c r="G29" s="127">
        <f>+W29-O29</f>
        <v>13.5</v>
      </c>
      <c r="H29" s="307"/>
      <c r="I29" s="695">
        <f>+Y29-Q29</f>
        <v>55.44000000000001</v>
      </c>
      <c r="J29" s="307"/>
      <c r="K29" s="760">
        <f>+AE29-S29</f>
        <v>536.5699999999999</v>
      </c>
      <c r="L29" s="847"/>
      <c r="M29" s="782">
        <f>853.18</f>
        <v>853.18</v>
      </c>
      <c r="N29" s="832"/>
      <c r="O29" s="715">
        <f>15</f>
        <v>15</v>
      </c>
      <c r="P29" s="670"/>
      <c r="Q29" s="671">
        <v>110.89</v>
      </c>
      <c r="R29" s="707"/>
      <c r="S29" s="798">
        <f>+M29+O29+Q29</f>
        <v>979.0699999999999</v>
      </c>
      <c r="T29" s="847"/>
      <c r="U29" s="130">
        <f>1320.81</f>
        <v>1320.81</v>
      </c>
      <c r="V29" s="340"/>
      <c r="W29" s="503">
        <f>28.5</f>
        <v>28.5</v>
      </c>
      <c r="X29" s="340"/>
      <c r="Y29" s="709">
        <f>166.33</f>
        <v>166.33</v>
      </c>
      <c r="Z29" s="340"/>
      <c r="AA29" s="798">
        <f>+U29+W29+Y29</f>
        <v>1515.6399999999999</v>
      </c>
      <c r="AB29" s="326"/>
      <c r="AC29" s="274">
        <v>0</v>
      </c>
      <c r="AD29" s="294"/>
      <c r="AE29" s="274">
        <f>+AA29-AC29</f>
        <v>1515.6399999999999</v>
      </c>
      <c r="AF29" s="326"/>
      <c r="AG29" s="326"/>
      <c r="AH29" s="274">
        <v>481.89</v>
      </c>
      <c r="AL29" s="291"/>
      <c r="AM29" s="121"/>
      <c r="AN29" s="292"/>
      <c r="AO29" s="32"/>
      <c r="AP29" s="32"/>
    </row>
    <row r="30" spans="1:42" ht="33" customHeight="1">
      <c r="A30" s="353">
        <f t="shared" si="0"/>
        <v>10</v>
      </c>
      <c r="B30" s="14"/>
      <c r="C30" s="395" t="s">
        <v>205</v>
      </c>
      <c r="D30" s="397"/>
      <c r="E30" s="746">
        <f>+E28-E29</f>
        <v>478.14999999999884</v>
      </c>
      <c r="F30" s="830"/>
      <c r="G30" s="741">
        <f>+G28-G29</f>
        <v>65.48000000000043</v>
      </c>
      <c r="H30" s="717"/>
      <c r="I30" s="735">
        <f>+I28-I29</f>
        <v>62.64000000000024</v>
      </c>
      <c r="J30" s="717"/>
      <c r="K30" s="761">
        <f>+K28-K29</f>
        <v>627.4299999999962</v>
      </c>
      <c r="L30" s="848"/>
      <c r="M30" s="783">
        <f>+M28-M29</f>
        <v>554.7599999999996</v>
      </c>
      <c r="N30" s="834"/>
      <c r="O30" s="792">
        <f>+O28-O29</f>
        <v>143.88999999999976</v>
      </c>
      <c r="P30" s="710"/>
      <c r="Q30" s="673">
        <f>+Q28-Q29</f>
        <v>1.5999999999999517</v>
      </c>
      <c r="R30" s="710"/>
      <c r="S30" s="800">
        <f>+S28-S29</f>
        <v>700.2500000000036</v>
      </c>
      <c r="T30" s="848"/>
      <c r="U30" s="356">
        <f>+U28-U29</f>
        <v>1032.909999999998</v>
      </c>
      <c r="V30" s="835"/>
      <c r="W30" s="717">
        <f>+W28-W29</f>
        <v>209.36999999999998</v>
      </c>
      <c r="X30" s="505"/>
      <c r="Y30" s="795">
        <f>+Y28-Y29</f>
        <v>64.2400000000001</v>
      </c>
      <c r="Z30" s="505"/>
      <c r="AA30" s="800">
        <f>+AA28-AA29</f>
        <v>1306.5200000000018</v>
      </c>
      <c r="AB30" s="359"/>
      <c r="AC30" s="325">
        <f>+AC28-AC29</f>
        <v>-21.16</v>
      </c>
      <c r="AD30" s="329"/>
      <c r="AE30" s="325">
        <f>+AE28-AE29</f>
        <v>1327.6800000000017</v>
      </c>
      <c r="AF30" s="326"/>
      <c r="AG30" s="326"/>
      <c r="AH30" s="354">
        <f>+AH28-AH29</f>
        <v>-33.69000000000074</v>
      </c>
      <c r="AL30" s="289"/>
      <c r="AM30" s="115"/>
      <c r="AN30" s="290"/>
      <c r="AO30" s="32"/>
      <c r="AP30" s="32"/>
    </row>
    <row r="31" spans="1:42" ht="17.25" customHeight="1">
      <c r="A31" s="68">
        <f t="shared" si="0"/>
        <v>11</v>
      </c>
      <c r="B31" s="14"/>
      <c r="C31" s="100" t="s">
        <v>249</v>
      </c>
      <c r="D31" s="99"/>
      <c r="E31" s="136">
        <f>+U31-M31</f>
        <v>0</v>
      </c>
      <c r="F31" s="830"/>
      <c r="G31" s="127">
        <f>+W31-O31</f>
        <v>0</v>
      </c>
      <c r="H31" s="715"/>
      <c r="I31" s="695">
        <f>+Y31-Q31</f>
        <v>0</v>
      </c>
      <c r="J31" s="715"/>
      <c r="K31" s="760">
        <f>+AE31-S31</f>
        <v>0</v>
      </c>
      <c r="L31" s="846"/>
      <c r="M31" s="780">
        <v>0</v>
      </c>
      <c r="N31" s="834"/>
      <c r="O31" s="715">
        <v>0</v>
      </c>
      <c r="P31" s="670"/>
      <c r="Q31" s="671">
        <v>0</v>
      </c>
      <c r="R31" s="670"/>
      <c r="S31" s="798">
        <f>+M31+O31+Q31</f>
        <v>0</v>
      </c>
      <c r="T31" s="846"/>
      <c r="U31" s="331">
        <v>0</v>
      </c>
      <c r="V31" s="340"/>
      <c r="W31" s="715">
        <v>0</v>
      </c>
      <c r="X31" s="502"/>
      <c r="Y31" s="671">
        <v>0</v>
      </c>
      <c r="Z31" s="502"/>
      <c r="AA31" s="798">
        <f>+U31+W31+Y31</f>
        <v>0</v>
      </c>
      <c r="AB31" s="326"/>
      <c r="AC31" s="325">
        <v>0</v>
      </c>
      <c r="AD31" s="329"/>
      <c r="AE31" s="325">
        <f>+U31-AC31</f>
        <v>0</v>
      </c>
      <c r="AF31" s="326"/>
      <c r="AG31" s="326"/>
      <c r="AH31" s="325">
        <v>0</v>
      </c>
      <c r="AL31" s="289"/>
      <c r="AM31" s="115"/>
      <c r="AN31" s="290"/>
      <c r="AO31" s="32"/>
      <c r="AP31" s="32"/>
    </row>
    <row r="32" spans="1:42" ht="17.25" customHeight="1">
      <c r="A32" s="68">
        <f t="shared" si="0"/>
        <v>12</v>
      </c>
      <c r="B32" s="14"/>
      <c r="C32" s="100" t="s">
        <v>174</v>
      </c>
      <c r="D32" s="99"/>
      <c r="E32" s="136">
        <f>+U32-M32</f>
        <v>0</v>
      </c>
      <c r="F32" s="830"/>
      <c r="G32" s="127">
        <f>+W32-O32</f>
        <v>0</v>
      </c>
      <c r="H32" s="715"/>
      <c r="I32" s="695">
        <f>+Y32-Q32</f>
        <v>0</v>
      </c>
      <c r="J32" s="715"/>
      <c r="K32" s="760">
        <f>+AE32-S32</f>
        <v>0</v>
      </c>
      <c r="L32" s="846"/>
      <c r="M32" s="780">
        <v>0</v>
      </c>
      <c r="N32" s="834"/>
      <c r="O32" s="715">
        <v>0</v>
      </c>
      <c r="P32" s="670"/>
      <c r="Q32" s="671">
        <v>0</v>
      </c>
      <c r="R32" s="670"/>
      <c r="S32" s="798">
        <f>+M32+O32+Q32</f>
        <v>0</v>
      </c>
      <c r="T32" s="846"/>
      <c r="U32" s="130">
        <v>0</v>
      </c>
      <c r="V32" s="340"/>
      <c r="W32" s="506">
        <v>0</v>
      </c>
      <c r="X32" s="502"/>
      <c r="Y32" s="794">
        <v>0</v>
      </c>
      <c r="Z32" s="502"/>
      <c r="AA32" s="865">
        <f>+U32+W32+Y32</f>
        <v>0</v>
      </c>
      <c r="AB32" s="326"/>
      <c r="AC32" s="337">
        <v>0</v>
      </c>
      <c r="AD32" s="329"/>
      <c r="AE32" s="337">
        <f>+U32-AC32</f>
        <v>0</v>
      </c>
      <c r="AF32" s="326"/>
      <c r="AG32" s="326"/>
      <c r="AH32" s="337">
        <v>0</v>
      </c>
      <c r="AL32" s="289"/>
      <c r="AM32" s="115"/>
      <c r="AN32" s="290"/>
      <c r="AO32" s="32"/>
      <c r="AP32" s="32"/>
    </row>
    <row r="33" spans="1:42" ht="17.25" customHeight="1">
      <c r="A33" s="68">
        <f t="shared" si="0"/>
        <v>13</v>
      </c>
      <c r="B33" s="14"/>
      <c r="C33" s="99" t="s">
        <v>206</v>
      </c>
      <c r="D33" s="99"/>
      <c r="E33" s="747">
        <f>+E30-E31+E32</f>
        <v>478.14999999999884</v>
      </c>
      <c r="F33" s="830"/>
      <c r="G33" s="742">
        <f>+G30-G31+G32</f>
        <v>65.48000000000043</v>
      </c>
      <c r="H33" s="715"/>
      <c r="I33" s="736">
        <f>+I30-I31+I32</f>
        <v>62.64000000000024</v>
      </c>
      <c r="J33" s="715"/>
      <c r="K33" s="762">
        <f>+K30-K31+K32</f>
        <v>627.4299999999962</v>
      </c>
      <c r="L33" s="846"/>
      <c r="M33" s="784">
        <f>+M30-M31+M32</f>
        <v>554.7599999999996</v>
      </c>
      <c r="N33" s="834"/>
      <c r="O33" s="793">
        <f>+O30-O31+O32</f>
        <v>143.88999999999976</v>
      </c>
      <c r="P33" s="670"/>
      <c r="Q33" s="674">
        <f>+Q30-Q31+Q32</f>
        <v>1.5999999999999517</v>
      </c>
      <c r="R33" s="670"/>
      <c r="S33" s="801">
        <f>+S30-S31+S32</f>
        <v>700.2500000000036</v>
      </c>
      <c r="T33" s="846"/>
      <c r="U33" s="327">
        <f>+U30-U31+U32</f>
        <v>1032.909999999998</v>
      </c>
      <c r="V33" s="340"/>
      <c r="W33" s="715">
        <f>+W30-W31+W32</f>
        <v>209.36999999999998</v>
      </c>
      <c r="X33" s="502"/>
      <c r="Y33" s="671">
        <f>+Y30-Y31+Y32</f>
        <v>64.2400000000001</v>
      </c>
      <c r="Z33" s="502"/>
      <c r="AA33" s="861">
        <f>+AA30-AA31+AA32</f>
        <v>1306.5200000000018</v>
      </c>
      <c r="AB33" s="326"/>
      <c r="AC33" s="325">
        <f>+AC30-AC31+AC32</f>
        <v>-21.16</v>
      </c>
      <c r="AD33" s="329"/>
      <c r="AE33" s="325">
        <f>+AE30-AE31+AE32</f>
        <v>1327.6800000000017</v>
      </c>
      <c r="AF33" s="326"/>
      <c r="AG33" s="326"/>
      <c r="AH33" s="325">
        <f>+AH30-AH31+AH32</f>
        <v>-33.69000000000074</v>
      </c>
      <c r="AL33" s="289"/>
      <c r="AM33" s="115"/>
      <c r="AN33" s="290"/>
      <c r="AO33" s="32"/>
      <c r="AP33" s="32"/>
    </row>
    <row r="34" spans="1:42" ht="17.25" customHeight="1">
      <c r="A34" s="68">
        <f t="shared" si="0"/>
        <v>14</v>
      </c>
      <c r="B34" s="14"/>
      <c r="C34" s="14" t="s">
        <v>7</v>
      </c>
      <c r="D34" s="14"/>
      <c r="E34" s="136"/>
      <c r="F34" s="121"/>
      <c r="G34" s="127"/>
      <c r="H34" s="307"/>
      <c r="I34" s="695"/>
      <c r="J34" s="307"/>
      <c r="K34" s="760"/>
      <c r="L34" s="847"/>
      <c r="M34" s="781"/>
      <c r="N34" s="695"/>
      <c r="O34" s="307"/>
      <c r="P34" s="707"/>
      <c r="Q34" s="833"/>
      <c r="R34" s="707"/>
      <c r="S34" s="798"/>
      <c r="T34" s="847"/>
      <c r="U34" s="331"/>
      <c r="V34" s="340"/>
      <c r="W34" s="307"/>
      <c r="X34" s="340"/>
      <c r="Y34" s="833"/>
      <c r="Z34" s="340"/>
      <c r="AA34" s="798"/>
      <c r="AB34" s="326"/>
      <c r="AC34" s="339"/>
      <c r="AD34" s="326"/>
      <c r="AE34" s="339"/>
      <c r="AF34" s="326"/>
      <c r="AG34" s="326"/>
      <c r="AH34" s="339"/>
      <c r="AL34" s="117"/>
      <c r="AM34" s="117"/>
      <c r="AN34" s="293"/>
      <c r="AO34" s="32"/>
      <c r="AP34" s="32"/>
    </row>
    <row r="35" spans="1:42" ht="15.75">
      <c r="A35" s="68"/>
      <c r="B35" s="14"/>
      <c r="C35" s="14" t="s">
        <v>21</v>
      </c>
      <c r="D35" s="14"/>
      <c r="E35" s="136">
        <f>+U35-M35</f>
        <v>2.0799999999999983</v>
      </c>
      <c r="F35" s="121"/>
      <c r="G35" s="127">
        <f>+W35-O35</f>
        <v>0</v>
      </c>
      <c r="H35" s="307"/>
      <c r="I35" s="695">
        <f>+Y35-Q35</f>
        <v>13</v>
      </c>
      <c r="J35" s="307"/>
      <c r="K35" s="760">
        <f>+AE35-S35</f>
        <v>15.079999999999991</v>
      </c>
      <c r="L35" s="847"/>
      <c r="M35" s="782">
        <v>57.21</v>
      </c>
      <c r="N35" s="695"/>
      <c r="O35" s="715">
        <v>0</v>
      </c>
      <c r="P35" s="670"/>
      <c r="Q35" s="671">
        <v>0</v>
      </c>
      <c r="R35" s="707"/>
      <c r="S35" s="798">
        <f>+M35+O35+Q35</f>
        <v>57.21</v>
      </c>
      <c r="T35" s="847"/>
      <c r="U35" s="130">
        <f>59.29</f>
        <v>59.29</v>
      </c>
      <c r="V35" s="340"/>
      <c r="W35" s="506">
        <v>0</v>
      </c>
      <c r="X35" s="502"/>
      <c r="Y35" s="794">
        <f>13</f>
        <v>13</v>
      </c>
      <c r="Z35" s="340"/>
      <c r="AA35" s="798">
        <f>+U35+W35+Y35</f>
        <v>72.28999999999999</v>
      </c>
      <c r="AB35" s="326"/>
      <c r="AC35" s="274">
        <v>0</v>
      </c>
      <c r="AD35" s="294"/>
      <c r="AE35" s="274">
        <f>+AA35-AC35</f>
        <v>72.28999999999999</v>
      </c>
      <c r="AF35" s="326"/>
      <c r="AG35" s="326"/>
      <c r="AH35" s="274">
        <v>2.03</v>
      </c>
      <c r="AL35" s="291"/>
      <c r="AM35" s="121"/>
      <c r="AN35" s="292"/>
      <c r="AO35" s="32"/>
      <c r="AP35" s="32"/>
    </row>
    <row r="36" spans="1:42" ht="17.25" customHeight="1">
      <c r="A36" s="68">
        <f>+A34+1</f>
        <v>15</v>
      </c>
      <c r="B36" s="14"/>
      <c r="C36" s="99" t="s">
        <v>190</v>
      </c>
      <c r="D36" s="99"/>
      <c r="E36" s="747">
        <f>+E33-E35</f>
        <v>476.06999999999886</v>
      </c>
      <c r="F36" s="830"/>
      <c r="G36" s="742">
        <f>+G33-G35</f>
        <v>65.48000000000043</v>
      </c>
      <c r="H36" s="715"/>
      <c r="I36" s="736">
        <f>+I33-I35</f>
        <v>49.64000000000024</v>
      </c>
      <c r="J36" s="715"/>
      <c r="K36" s="762">
        <f>+K33-K35</f>
        <v>612.3499999999962</v>
      </c>
      <c r="L36" s="846"/>
      <c r="M36" s="784">
        <f>+M33-M35</f>
        <v>497.54999999999967</v>
      </c>
      <c r="N36" s="834"/>
      <c r="O36" s="793">
        <f>+O33-O35</f>
        <v>143.88999999999976</v>
      </c>
      <c r="P36" s="670"/>
      <c r="Q36" s="674">
        <f>+Q33-Q35</f>
        <v>1.5999999999999517</v>
      </c>
      <c r="R36" s="670"/>
      <c r="S36" s="801">
        <f>+S33-S35</f>
        <v>643.0400000000036</v>
      </c>
      <c r="T36" s="846"/>
      <c r="U36" s="327">
        <f>+U33-U35</f>
        <v>973.6199999999981</v>
      </c>
      <c r="V36" s="502"/>
      <c r="W36" s="715">
        <f>+W33-W35</f>
        <v>209.36999999999998</v>
      </c>
      <c r="X36" s="502"/>
      <c r="Y36" s="671">
        <f>+Y33-Y35</f>
        <v>51.240000000000094</v>
      </c>
      <c r="Z36" s="502"/>
      <c r="AA36" s="801">
        <f>+AA33-AA35</f>
        <v>1234.2300000000018</v>
      </c>
      <c r="AB36" s="336"/>
      <c r="AC36" s="325">
        <f>+AC33-AC35</f>
        <v>-21.16</v>
      </c>
      <c r="AD36" s="329"/>
      <c r="AE36" s="325">
        <f>+AE33-AE35</f>
        <v>1255.3900000000017</v>
      </c>
      <c r="AF36" s="336"/>
      <c r="AG36" s="336"/>
      <c r="AH36" s="325">
        <f>+AH33-AH35</f>
        <v>-35.72000000000074</v>
      </c>
      <c r="AK36" s="11"/>
      <c r="AL36" s="289"/>
      <c r="AM36" s="118"/>
      <c r="AN36" s="290"/>
      <c r="AO36" s="32"/>
      <c r="AP36" s="32"/>
    </row>
    <row r="37" spans="1:42" ht="17.25" customHeight="1">
      <c r="A37" s="68">
        <f>+A36+1</f>
        <v>16</v>
      </c>
      <c r="B37" s="14"/>
      <c r="C37" s="14" t="s">
        <v>8</v>
      </c>
      <c r="D37" s="14"/>
      <c r="E37" s="136"/>
      <c r="F37" s="121"/>
      <c r="G37" s="127"/>
      <c r="H37" s="307"/>
      <c r="I37" s="695"/>
      <c r="J37" s="307"/>
      <c r="K37" s="760"/>
      <c r="L37" s="847"/>
      <c r="M37" s="781"/>
      <c r="N37" s="695"/>
      <c r="O37" s="307"/>
      <c r="P37" s="707"/>
      <c r="Q37" s="833"/>
      <c r="R37" s="707"/>
      <c r="S37" s="798"/>
      <c r="T37" s="847"/>
      <c r="U37" s="331"/>
      <c r="V37" s="340"/>
      <c r="W37" s="307"/>
      <c r="X37" s="340"/>
      <c r="Y37" s="833"/>
      <c r="Z37" s="340"/>
      <c r="AA37" s="798"/>
      <c r="AB37" s="326"/>
      <c r="AC37" s="330"/>
      <c r="AD37" s="294"/>
      <c r="AE37" s="330"/>
      <c r="AF37" s="326"/>
      <c r="AG37" s="326"/>
      <c r="AH37" s="330"/>
      <c r="AL37" s="291"/>
      <c r="AM37" s="121"/>
      <c r="AN37" s="292"/>
      <c r="AO37" s="32"/>
      <c r="AP37" s="32"/>
    </row>
    <row r="38" spans="1:42" ht="17.25" customHeight="1">
      <c r="A38" s="68"/>
      <c r="B38" s="14"/>
      <c r="C38" s="14" t="s">
        <v>291</v>
      </c>
      <c r="D38" s="14"/>
      <c r="E38" s="587">
        <f>+U38-M38</f>
        <v>1</v>
      </c>
      <c r="F38" s="121"/>
      <c r="G38" s="127">
        <f>+W38-O38</f>
        <v>0</v>
      </c>
      <c r="H38" s="307"/>
      <c r="I38" s="695">
        <f>+Y38-Q38</f>
        <v>0</v>
      </c>
      <c r="J38" s="307"/>
      <c r="K38" s="760">
        <f>+AE38-S38</f>
        <v>1</v>
      </c>
      <c r="L38" s="847"/>
      <c r="M38" s="781">
        <v>2</v>
      </c>
      <c r="N38" s="695"/>
      <c r="O38" s="307">
        <v>0</v>
      </c>
      <c r="P38" s="707"/>
      <c r="Q38" s="833">
        <v>0</v>
      </c>
      <c r="R38" s="707"/>
      <c r="S38" s="798">
        <f>+M38+O38+Q38</f>
        <v>2</v>
      </c>
      <c r="T38" s="847"/>
      <c r="U38" s="331">
        <v>3</v>
      </c>
      <c r="V38" s="340"/>
      <c r="W38" s="307">
        <v>0</v>
      </c>
      <c r="X38" s="340"/>
      <c r="Y38" s="833">
        <v>0</v>
      </c>
      <c r="Z38" s="340"/>
      <c r="AA38" s="798">
        <f>+U38+W38+Y38</f>
        <v>3</v>
      </c>
      <c r="AB38" s="326"/>
      <c r="AC38" s="330">
        <v>0</v>
      </c>
      <c r="AD38" s="294"/>
      <c r="AE38" s="330">
        <f>+U38-AC38</f>
        <v>3</v>
      </c>
      <c r="AF38" s="326"/>
      <c r="AG38" s="326"/>
      <c r="AH38" s="330"/>
      <c r="AL38" s="291"/>
      <c r="AM38" s="121"/>
      <c r="AN38" s="292"/>
      <c r="AO38" s="32"/>
      <c r="AP38" s="32"/>
    </row>
    <row r="39" spans="1:42" ht="15.75">
      <c r="A39" s="68"/>
      <c r="B39" s="14"/>
      <c r="C39" s="14" t="s">
        <v>332</v>
      </c>
      <c r="D39" s="14"/>
      <c r="E39" s="136">
        <f>+U39-M39</f>
        <v>-62</v>
      </c>
      <c r="F39" s="121"/>
      <c r="G39" s="127">
        <f>+W39-O39</f>
        <v>0</v>
      </c>
      <c r="H39" s="307"/>
      <c r="I39" s="695">
        <f>+Y39-Q39</f>
        <v>0</v>
      </c>
      <c r="J39" s="307"/>
      <c r="K39" s="760">
        <f>+AE39-S39</f>
        <v>-62</v>
      </c>
      <c r="L39" s="847"/>
      <c r="M39" s="781">
        <v>122</v>
      </c>
      <c r="N39" s="695"/>
      <c r="O39" s="715">
        <v>0</v>
      </c>
      <c r="P39" s="670"/>
      <c r="Q39" s="671">
        <v>0</v>
      </c>
      <c r="R39" s="707"/>
      <c r="S39" s="798">
        <f>+M39+O39+Q39</f>
        <v>122</v>
      </c>
      <c r="T39" s="847"/>
      <c r="U39" s="331">
        <v>60</v>
      </c>
      <c r="V39" s="340"/>
      <c r="W39" s="715">
        <v>0</v>
      </c>
      <c r="X39" s="502"/>
      <c r="Y39" s="671">
        <v>0</v>
      </c>
      <c r="Z39" s="340"/>
      <c r="AA39" s="798">
        <f>+U39+W39+Y39</f>
        <v>60</v>
      </c>
      <c r="AB39" s="326"/>
      <c r="AC39" s="330">
        <v>0</v>
      </c>
      <c r="AD39" s="294"/>
      <c r="AE39" s="330">
        <f>+U39-AC39</f>
        <v>60</v>
      </c>
      <c r="AF39" s="326"/>
      <c r="AG39" s="326"/>
      <c r="AH39" s="330">
        <v>1</v>
      </c>
      <c r="AL39" s="291"/>
      <c r="AM39" s="121"/>
      <c r="AN39" s="292"/>
      <c r="AO39" s="32"/>
      <c r="AP39" s="32"/>
    </row>
    <row r="40" spans="1:42" ht="17.25" customHeight="1">
      <c r="A40" s="68"/>
      <c r="B40" s="14"/>
      <c r="C40" s="14" t="s">
        <v>333</v>
      </c>
      <c r="D40" s="14"/>
      <c r="E40" s="136">
        <f>+U40-M40</f>
        <v>71</v>
      </c>
      <c r="F40" s="121"/>
      <c r="G40" s="127">
        <f>+W40-O40</f>
        <v>0</v>
      </c>
      <c r="H40" s="307"/>
      <c r="I40" s="695">
        <f>+Y40-Q40</f>
        <v>0</v>
      </c>
      <c r="J40" s="307"/>
      <c r="K40" s="760">
        <f>+AE40-S40</f>
        <v>71</v>
      </c>
      <c r="L40" s="847"/>
      <c r="M40" s="782">
        <v>-160</v>
      </c>
      <c r="N40" s="695"/>
      <c r="O40" s="715">
        <v>0</v>
      </c>
      <c r="P40" s="670"/>
      <c r="Q40" s="671">
        <v>0</v>
      </c>
      <c r="R40" s="707"/>
      <c r="S40" s="798">
        <f>+M40+O40+Q40</f>
        <v>-160</v>
      </c>
      <c r="T40" s="847"/>
      <c r="U40" s="130">
        <v>-89</v>
      </c>
      <c r="V40" s="340"/>
      <c r="W40" s="715">
        <v>0</v>
      </c>
      <c r="X40" s="502"/>
      <c r="Y40" s="671">
        <v>0</v>
      </c>
      <c r="Z40" s="340"/>
      <c r="AA40" s="798">
        <f>+U40+W40+Y40</f>
        <v>-89</v>
      </c>
      <c r="AB40" s="326"/>
      <c r="AC40" s="330">
        <v>0</v>
      </c>
      <c r="AD40" s="294"/>
      <c r="AE40" s="330">
        <f>+U40-AC40</f>
        <v>-89</v>
      </c>
      <c r="AF40" s="326"/>
      <c r="AG40" s="326"/>
      <c r="AH40" s="274">
        <v>1</v>
      </c>
      <c r="AJ40" s="4"/>
      <c r="AL40" s="291"/>
      <c r="AM40" s="121"/>
      <c r="AN40" s="302"/>
      <c r="AO40" s="32"/>
      <c r="AP40" s="32"/>
    </row>
    <row r="41" spans="1:42" ht="17.25" customHeight="1" thickBot="1">
      <c r="A41" s="68">
        <f>+A37+1</f>
        <v>17</v>
      </c>
      <c r="B41" s="14"/>
      <c r="C41" s="9" t="s">
        <v>191</v>
      </c>
      <c r="D41" s="9"/>
      <c r="E41" s="342">
        <f>+E36-E39-E40-E38</f>
        <v>466.0699999999988</v>
      </c>
      <c r="F41" s="118"/>
      <c r="G41" s="507">
        <f>+G36-G39-G40-G38</f>
        <v>65.48000000000043</v>
      </c>
      <c r="H41" s="715"/>
      <c r="I41" s="675">
        <f>+I36-I39-I40-I38</f>
        <v>49.64000000000024</v>
      </c>
      <c r="J41" s="715"/>
      <c r="K41" s="763">
        <f>+K36-K39-K40-K38</f>
        <v>602.3499999999962</v>
      </c>
      <c r="L41" s="846"/>
      <c r="M41" s="342">
        <f>+M36-M39-M40-M38</f>
        <v>533.5499999999997</v>
      </c>
      <c r="N41" s="690"/>
      <c r="O41" s="507">
        <f>+O36-O39-O40-O38</f>
        <v>143.88999999999976</v>
      </c>
      <c r="P41" s="670"/>
      <c r="Q41" s="675">
        <f>+Q36-Q39-Q40-Q38</f>
        <v>1.5999999999999517</v>
      </c>
      <c r="R41" s="670"/>
      <c r="S41" s="763">
        <f>+S36-S39-S40-S38</f>
        <v>679.0400000000036</v>
      </c>
      <c r="T41" s="846"/>
      <c r="U41" s="342">
        <f>+U36-U39-U40-U38</f>
        <v>999.6199999999981</v>
      </c>
      <c r="V41" s="340"/>
      <c r="W41" s="507">
        <f>+W36-W39-W40-W38</f>
        <v>209.36999999999998</v>
      </c>
      <c r="X41" s="502"/>
      <c r="Y41" s="675">
        <f>+Y36-Y39-Y40-Y38</f>
        <v>51.240000000000094</v>
      </c>
      <c r="Z41" s="502"/>
      <c r="AA41" s="763">
        <f>+AA36-AA39-AA40-AA38</f>
        <v>1260.2300000000018</v>
      </c>
      <c r="AB41" s="326"/>
      <c r="AC41" s="341">
        <f>+AC36-AC38-AC39-AC40</f>
        <v>-21.16</v>
      </c>
      <c r="AD41" s="329"/>
      <c r="AE41" s="341">
        <f>+AE36-AE38-AE40-AE39</f>
        <v>1281.3900000000017</v>
      </c>
      <c r="AF41" s="326"/>
      <c r="AG41" s="326"/>
      <c r="AH41" s="341">
        <f>+AH36-AH39-AH40</f>
        <v>-37.72000000000074</v>
      </c>
      <c r="AL41" s="289"/>
      <c r="AM41" s="118"/>
      <c r="AN41" s="290"/>
      <c r="AO41" s="32"/>
      <c r="AP41" s="32"/>
    </row>
    <row r="42" spans="1:42" ht="6" customHeight="1" thickBot="1" thickTop="1">
      <c r="A42" s="68"/>
      <c r="B42" s="14"/>
      <c r="C42" s="9"/>
      <c r="D42" s="9"/>
      <c r="E42" s="748"/>
      <c r="F42" s="118"/>
      <c r="G42" s="743"/>
      <c r="H42" s="715"/>
      <c r="I42" s="737"/>
      <c r="J42" s="715"/>
      <c r="K42" s="764"/>
      <c r="L42" s="328"/>
      <c r="M42" s="785"/>
      <c r="N42" s="690"/>
      <c r="O42" s="715"/>
      <c r="P42" s="670"/>
      <c r="Q42" s="671"/>
      <c r="R42" s="670"/>
      <c r="S42" s="802"/>
      <c r="T42" s="328"/>
      <c r="U42" s="327"/>
      <c r="V42" s="340"/>
      <c r="W42" s="715"/>
      <c r="X42" s="502"/>
      <c r="Y42" s="671"/>
      <c r="Z42" s="502"/>
      <c r="AA42" s="802"/>
      <c r="AB42" s="326"/>
      <c r="AC42" s="870"/>
      <c r="AD42" s="329"/>
      <c r="AE42" s="870"/>
      <c r="AF42" s="326"/>
      <c r="AG42" s="326"/>
      <c r="AH42" s="325"/>
      <c r="AL42" s="289"/>
      <c r="AM42" s="118"/>
      <c r="AN42" s="290"/>
      <c r="AO42" s="32"/>
      <c r="AP42" s="32"/>
    </row>
    <row r="43" spans="1:42" ht="6" customHeight="1">
      <c r="A43" s="23"/>
      <c r="C43" s="26"/>
      <c r="D43" s="26"/>
      <c r="E43" s="533"/>
      <c r="F43" s="533"/>
      <c r="G43" s="836"/>
      <c r="H43" s="836"/>
      <c r="I43" s="711"/>
      <c r="J43" s="836"/>
      <c r="K43" s="837"/>
      <c r="L43" s="790"/>
      <c r="M43" s="533"/>
      <c r="N43" s="691"/>
      <c r="O43" s="836"/>
      <c r="P43" s="711"/>
      <c r="Q43" s="711"/>
      <c r="R43" s="711"/>
      <c r="S43" s="837"/>
      <c r="T43" s="790"/>
      <c r="U43" s="790"/>
      <c r="V43" s="838"/>
      <c r="W43" s="836"/>
      <c r="X43" s="836"/>
      <c r="Y43" s="711"/>
      <c r="Z43" s="836"/>
      <c r="AA43" s="837"/>
      <c r="AB43" s="11"/>
      <c r="AC43" s="301"/>
      <c r="AD43" s="301"/>
      <c r="AE43" s="301"/>
      <c r="AF43" s="32"/>
      <c r="AG43" s="32"/>
      <c r="AH43" s="301"/>
      <c r="AL43" s="301"/>
      <c r="AM43" s="32"/>
      <c r="AN43" s="301"/>
      <c r="AO43" s="32"/>
      <c r="AP43" s="32"/>
    </row>
    <row r="44" spans="1:42" ht="15.75" hidden="1">
      <c r="A44" s="280" t="s">
        <v>152</v>
      </c>
      <c r="C44" s="26"/>
      <c r="D44" s="26"/>
      <c r="E44" s="533"/>
      <c r="F44" s="533"/>
      <c r="G44" s="836"/>
      <c r="H44" s="836"/>
      <c r="I44" s="711"/>
      <c r="J44" s="836"/>
      <c r="K44" s="837"/>
      <c r="L44" s="790"/>
      <c r="M44" s="533"/>
      <c r="N44" s="691"/>
      <c r="O44" s="836"/>
      <c r="P44" s="711"/>
      <c r="Q44" s="711"/>
      <c r="R44" s="711"/>
      <c r="S44" s="837"/>
      <c r="T44" s="790"/>
      <c r="U44" s="790"/>
      <c r="V44" s="838"/>
      <c r="W44" s="836"/>
      <c r="X44" s="836"/>
      <c r="Y44" s="711"/>
      <c r="Z44" s="836"/>
      <c r="AA44" s="837"/>
      <c r="AB44" s="11"/>
      <c r="AC44" s="37"/>
      <c r="AD44" s="37"/>
      <c r="AE44" s="37"/>
      <c r="AF44" s="32"/>
      <c r="AG44" s="32"/>
      <c r="AH44" s="37"/>
      <c r="AL44" s="301"/>
      <c r="AM44" s="32"/>
      <c r="AN44" s="301"/>
      <c r="AO44" s="32"/>
      <c r="AP44" s="32"/>
    </row>
    <row r="45" spans="1:42" ht="15.75" hidden="1">
      <c r="A45" s="23"/>
      <c r="C45" s="281" t="s">
        <v>228</v>
      </c>
      <c r="D45" s="26"/>
      <c r="E45" s="533"/>
      <c r="F45" s="533"/>
      <c r="G45" s="838"/>
      <c r="H45" s="838"/>
      <c r="I45" s="691"/>
      <c r="J45" s="838"/>
      <c r="K45" s="839"/>
      <c r="L45" s="641"/>
      <c r="M45" s="533"/>
      <c r="N45" s="691"/>
      <c r="O45" s="838"/>
      <c r="P45" s="691"/>
      <c r="Q45" s="691"/>
      <c r="R45" s="691"/>
      <c r="S45" s="839"/>
      <c r="T45" s="641"/>
      <c r="U45" s="790"/>
      <c r="V45" s="840"/>
      <c r="W45" s="838"/>
      <c r="X45" s="838"/>
      <c r="Y45" s="691"/>
      <c r="Z45" s="838"/>
      <c r="AA45" s="839"/>
      <c r="AC45" s="36"/>
      <c r="AD45" s="36"/>
      <c r="AE45" s="36"/>
      <c r="AH45" s="36"/>
      <c r="AJ45" s="36"/>
      <c r="AL45" s="54"/>
      <c r="AM45" s="32"/>
      <c r="AN45" s="32"/>
      <c r="AO45" s="32"/>
      <c r="AP45" s="32"/>
    </row>
    <row r="46" spans="1:42" ht="15.75" hidden="1">
      <c r="A46" s="23"/>
      <c r="C46" s="281" t="s">
        <v>179</v>
      </c>
      <c r="D46" s="26"/>
      <c r="E46" s="533"/>
      <c r="F46" s="533"/>
      <c r="G46" s="838"/>
      <c r="H46" s="838"/>
      <c r="I46" s="691"/>
      <c r="J46" s="838"/>
      <c r="K46" s="839"/>
      <c r="L46" s="641"/>
      <c r="M46" s="533"/>
      <c r="N46" s="691"/>
      <c r="O46" s="838"/>
      <c r="P46" s="691"/>
      <c r="Q46" s="691"/>
      <c r="R46" s="691"/>
      <c r="S46" s="839"/>
      <c r="T46" s="641"/>
      <c r="U46" s="790"/>
      <c r="V46" s="840"/>
      <c r="W46" s="838"/>
      <c r="X46" s="838"/>
      <c r="Y46" s="691"/>
      <c r="Z46" s="838"/>
      <c r="AA46" s="839"/>
      <c r="AC46" s="36"/>
      <c r="AD46" s="36"/>
      <c r="AE46" s="36"/>
      <c r="AH46" s="36"/>
      <c r="AJ46" s="36"/>
      <c r="AL46" s="54"/>
      <c r="AM46" s="32"/>
      <c r="AN46" s="32"/>
      <c r="AO46" s="32"/>
      <c r="AP46" s="32"/>
    </row>
    <row r="47" spans="1:42" ht="15.75" hidden="1">
      <c r="A47" s="23"/>
      <c r="C47" s="281" t="s">
        <v>197</v>
      </c>
      <c r="D47" s="26"/>
      <c r="E47" s="533"/>
      <c r="F47" s="533"/>
      <c r="G47" s="838"/>
      <c r="H47" s="838"/>
      <c r="I47" s="691"/>
      <c r="J47" s="838"/>
      <c r="K47" s="839"/>
      <c r="L47" s="641"/>
      <c r="M47" s="533"/>
      <c r="N47" s="691"/>
      <c r="O47" s="838"/>
      <c r="P47" s="691"/>
      <c r="Q47" s="691"/>
      <c r="R47" s="691"/>
      <c r="S47" s="839"/>
      <c r="T47" s="641"/>
      <c r="U47" s="790"/>
      <c r="V47" s="840"/>
      <c r="W47" s="838"/>
      <c r="X47" s="838"/>
      <c r="Y47" s="691"/>
      <c r="Z47" s="838"/>
      <c r="AA47" s="839"/>
      <c r="AC47" s="36"/>
      <c r="AD47" s="36"/>
      <c r="AE47" s="36"/>
      <c r="AH47" s="36"/>
      <c r="AJ47" s="36"/>
      <c r="AL47" s="54"/>
      <c r="AM47" s="32"/>
      <c r="AN47" s="32"/>
      <c r="AO47" s="32"/>
      <c r="AP47" s="32"/>
    </row>
    <row r="48" spans="1:42" ht="15.75" hidden="1">
      <c r="A48" s="23"/>
      <c r="C48" s="281" t="s">
        <v>229</v>
      </c>
      <c r="D48" s="26"/>
      <c r="E48" s="533"/>
      <c r="F48" s="533"/>
      <c r="G48" s="838"/>
      <c r="H48" s="838"/>
      <c r="I48" s="691"/>
      <c r="J48" s="838"/>
      <c r="K48" s="839"/>
      <c r="L48" s="641"/>
      <c r="M48" s="533"/>
      <c r="N48" s="691"/>
      <c r="O48" s="838"/>
      <c r="P48" s="691"/>
      <c r="Q48" s="691"/>
      <c r="R48" s="691"/>
      <c r="S48" s="839"/>
      <c r="T48" s="641"/>
      <c r="U48" s="790"/>
      <c r="V48" s="840"/>
      <c r="W48" s="838"/>
      <c r="X48" s="838"/>
      <c r="Y48" s="691"/>
      <c r="Z48" s="838"/>
      <c r="AA48" s="839"/>
      <c r="AC48" s="37"/>
      <c r="AD48" s="37"/>
      <c r="AE48" s="37"/>
      <c r="AL48" s="54"/>
      <c r="AM48" s="32"/>
      <c r="AN48" s="32"/>
      <c r="AO48" s="32"/>
      <c r="AP48" s="32"/>
    </row>
    <row r="49" spans="1:42" ht="15.75">
      <c r="A49" s="23"/>
      <c r="E49" s="527"/>
      <c r="F49" s="527"/>
      <c r="G49" s="840"/>
      <c r="H49" s="840"/>
      <c r="I49" s="678"/>
      <c r="J49" s="840"/>
      <c r="K49" s="839"/>
      <c r="L49" s="840"/>
      <c r="M49" s="527"/>
      <c r="N49" s="678"/>
      <c r="O49" s="840"/>
      <c r="P49" s="678"/>
      <c r="Q49" s="678"/>
      <c r="R49" s="678"/>
      <c r="S49" s="839"/>
      <c r="T49" s="840"/>
      <c r="U49" s="841"/>
      <c r="V49" s="840"/>
      <c r="W49" s="840"/>
      <c r="X49" s="840"/>
      <c r="Y49" s="678"/>
      <c r="Z49" s="840"/>
      <c r="AA49" s="839"/>
      <c r="AC49" s="40"/>
      <c r="AD49" s="40"/>
      <c r="AE49" s="40"/>
      <c r="AG49" s="10">
        <f>+AE36-3-188.5+302</f>
        <v>1365.8900000000017</v>
      </c>
      <c r="AJ49" s="41"/>
      <c r="AL49" s="32"/>
      <c r="AM49" s="32"/>
      <c r="AN49" s="32"/>
      <c r="AO49" s="32"/>
      <c r="AP49" s="32"/>
    </row>
    <row r="50" spans="1:42" ht="3.75" customHeight="1">
      <c r="A50" s="23"/>
      <c r="E50" s="527"/>
      <c r="F50" s="527"/>
      <c r="G50" s="840"/>
      <c r="H50" s="840"/>
      <c r="I50" s="678"/>
      <c r="J50" s="840"/>
      <c r="K50" s="839"/>
      <c r="L50" s="840"/>
      <c r="M50" s="527"/>
      <c r="N50" s="678"/>
      <c r="O50" s="840"/>
      <c r="P50" s="678"/>
      <c r="Q50" s="678"/>
      <c r="R50" s="678"/>
      <c r="S50" s="839"/>
      <c r="T50" s="840"/>
      <c r="U50" s="841"/>
      <c r="V50" s="840"/>
      <c r="W50" s="840"/>
      <c r="X50" s="840"/>
      <c r="Y50" s="678"/>
      <c r="Z50" s="840"/>
      <c r="AA50" s="839"/>
      <c r="AC50" s="40"/>
      <c r="AD50" s="40"/>
      <c r="AE50" s="40"/>
      <c r="AH50" s="26"/>
      <c r="AJ50" s="41"/>
      <c r="AL50" s="32"/>
      <c r="AM50" s="32"/>
      <c r="AN50" s="32"/>
      <c r="AO50" s="32"/>
      <c r="AP50" s="32"/>
    </row>
    <row r="51" spans="1:42" ht="15" customHeight="1">
      <c r="A51" s="525" t="s">
        <v>39</v>
      </c>
      <c r="B51" s="525"/>
      <c r="C51" s="525"/>
      <c r="D51" s="525"/>
      <c r="E51" s="526"/>
      <c r="F51" s="526"/>
      <c r="G51" s="718"/>
      <c r="H51" s="718"/>
      <c r="I51" s="676"/>
      <c r="J51" s="718"/>
      <c r="K51" s="765"/>
      <c r="L51" s="526"/>
      <c r="M51" s="526"/>
      <c r="N51" s="676"/>
      <c r="O51" s="718"/>
      <c r="P51" s="676"/>
      <c r="Q51" s="676"/>
      <c r="R51" s="676"/>
      <c r="S51" s="765"/>
      <c r="T51" s="526"/>
      <c r="U51" s="526"/>
      <c r="V51" s="526"/>
      <c r="W51" s="718"/>
      <c r="X51" s="718"/>
      <c r="Y51" s="676"/>
      <c r="Z51" s="718"/>
      <c r="AA51" s="765"/>
      <c r="AB51" s="138"/>
      <c r="AC51" s="138"/>
      <c r="AD51" s="138"/>
      <c r="AE51" s="138"/>
      <c r="AF51" s="138"/>
      <c r="AG51" s="278">
        <f>3+188.5-302</f>
        <v>-110.5</v>
      </c>
      <c r="AH51" s="138"/>
      <c r="AI51" s="138"/>
      <c r="AJ51" s="138"/>
      <c r="AL51" s="32"/>
      <c r="AM51" s="32"/>
      <c r="AN51" s="32"/>
      <c r="AO51" s="32"/>
      <c r="AP51" s="32"/>
    </row>
    <row r="52" spans="1:42" ht="15" customHeight="1">
      <c r="A52" s="525" t="s">
        <v>40</v>
      </c>
      <c r="B52" s="525"/>
      <c r="C52" s="525"/>
      <c r="D52" s="525"/>
      <c r="E52" s="526"/>
      <c r="F52" s="526"/>
      <c r="G52" s="718"/>
      <c r="H52" s="718"/>
      <c r="I52" s="676"/>
      <c r="J52" s="718"/>
      <c r="K52" s="765"/>
      <c r="L52" s="526"/>
      <c r="M52" s="526"/>
      <c r="N52" s="676"/>
      <c r="O52" s="718"/>
      <c r="P52" s="676"/>
      <c r="Q52" s="676"/>
      <c r="R52" s="676"/>
      <c r="S52" s="765"/>
      <c r="T52" s="526"/>
      <c r="U52" s="526"/>
      <c r="V52" s="526"/>
      <c r="W52" s="718"/>
      <c r="X52" s="718"/>
      <c r="Y52" s="676"/>
      <c r="Z52" s="718"/>
      <c r="AA52" s="765"/>
      <c r="AB52" s="138"/>
      <c r="AC52" s="141"/>
      <c r="AD52" s="141"/>
      <c r="AE52" s="141"/>
      <c r="AF52" s="141"/>
      <c r="AG52" s="141"/>
      <c r="AH52" s="32"/>
      <c r="AI52" s="141"/>
      <c r="AJ52" s="141"/>
      <c r="AK52" s="32"/>
      <c r="AL52" s="32"/>
      <c r="AM52" s="32"/>
      <c r="AN52" s="32"/>
      <c r="AO52" s="32"/>
      <c r="AP52" s="32"/>
    </row>
    <row r="53" spans="1:41" ht="15" customHeight="1" thickBot="1">
      <c r="A53" s="525"/>
      <c r="B53" s="525"/>
      <c r="C53" s="525"/>
      <c r="D53" s="525"/>
      <c r="E53" s="526"/>
      <c r="F53" s="526"/>
      <c r="G53" s="718"/>
      <c r="H53" s="718"/>
      <c r="I53" s="676"/>
      <c r="J53" s="718"/>
      <c r="K53" s="765"/>
      <c r="L53" s="535"/>
      <c r="M53" s="526"/>
      <c r="N53" s="676"/>
      <c r="O53" s="718"/>
      <c r="P53" s="676"/>
      <c r="Q53" s="676"/>
      <c r="R53" s="676"/>
      <c r="S53" s="765"/>
      <c r="T53" s="535"/>
      <c r="U53" s="526"/>
      <c r="V53" s="526"/>
      <c r="W53" s="718"/>
      <c r="X53" s="718"/>
      <c r="Y53" s="676"/>
      <c r="Z53" s="718"/>
      <c r="AA53" s="765"/>
      <c r="AB53" s="138"/>
      <c r="AC53" s="141"/>
      <c r="AD53" s="141"/>
      <c r="AE53" s="141"/>
      <c r="AF53" s="141"/>
      <c r="AG53" s="141"/>
      <c r="AH53" s="32"/>
      <c r="AI53" s="141"/>
      <c r="AJ53" s="141"/>
      <c r="AK53" s="32"/>
      <c r="AL53" s="32"/>
      <c r="AM53" s="32"/>
      <c r="AN53" s="32"/>
      <c r="AO53" s="32"/>
    </row>
    <row r="54" spans="1:41" ht="15" customHeight="1">
      <c r="A54" s="524"/>
      <c r="B54" s="524"/>
      <c r="C54" s="524"/>
      <c r="D54" s="524"/>
      <c r="E54" s="749"/>
      <c r="F54" s="753"/>
      <c r="G54" s="719"/>
      <c r="H54" s="860"/>
      <c r="I54" s="679"/>
      <c r="J54" s="860"/>
      <c r="K54" s="766"/>
      <c r="L54" s="849"/>
      <c r="M54" s="786"/>
      <c r="N54" s="689"/>
      <c r="O54" s="719"/>
      <c r="P54" s="677"/>
      <c r="Q54" s="679"/>
      <c r="R54" s="677"/>
      <c r="S54" s="766"/>
      <c r="T54" s="849"/>
      <c r="U54" s="749"/>
      <c r="V54" s="855"/>
      <c r="W54" s="719"/>
      <c r="X54" s="860"/>
      <c r="Y54" s="679"/>
      <c r="Z54" s="860"/>
      <c r="AA54" s="766"/>
      <c r="AB54" s="95"/>
      <c r="AC54" s="63"/>
      <c r="AD54" s="95"/>
      <c r="AE54" s="63"/>
      <c r="AF54" s="95"/>
      <c r="AG54" s="95"/>
      <c r="AH54" s="63"/>
      <c r="AI54" s="140"/>
      <c r="AJ54" s="140"/>
      <c r="AK54" s="32"/>
      <c r="AL54" s="32"/>
      <c r="AM54" s="32"/>
      <c r="AN54" s="32"/>
      <c r="AO54" s="32"/>
    </row>
    <row r="55" spans="1:41" ht="15" customHeight="1">
      <c r="A55" s="524"/>
      <c r="B55" s="524"/>
      <c r="C55" s="524"/>
      <c r="D55" s="524"/>
      <c r="E55" s="750" t="str">
        <f>+E7</f>
        <v>FGL</v>
      </c>
      <c r="F55" s="121"/>
      <c r="G55" s="720" t="str">
        <f>+G7</f>
        <v>BIL</v>
      </c>
      <c r="H55" s="721"/>
      <c r="I55" s="680" t="str">
        <f>+I7</f>
        <v>CKL</v>
      </c>
      <c r="J55" s="721"/>
      <c r="K55" s="767" t="str">
        <f>+K7</f>
        <v>FGL</v>
      </c>
      <c r="L55" s="849"/>
      <c r="M55" s="750" t="str">
        <f>+M7</f>
        <v>FGL</v>
      </c>
      <c r="N55" s="681"/>
      <c r="O55" s="720" t="str">
        <f>+O7</f>
        <v>BIL</v>
      </c>
      <c r="P55" s="682"/>
      <c r="Q55" s="680" t="str">
        <f>+Q7</f>
        <v>CKL</v>
      </c>
      <c r="R55" s="682"/>
      <c r="S55" s="767" t="str">
        <f>+S7</f>
        <v>FGL</v>
      </c>
      <c r="T55" s="849"/>
      <c r="U55" s="853" t="str">
        <f>+U7</f>
        <v>FGL</v>
      </c>
      <c r="V55" s="856"/>
      <c r="W55" s="721" t="str">
        <f>+W7</f>
        <v>BIL</v>
      </c>
      <c r="X55" s="720"/>
      <c r="Y55" s="858" t="str">
        <f>+Y7</f>
        <v>CKL</v>
      </c>
      <c r="Z55" s="721"/>
      <c r="AA55" s="767" t="str">
        <f>+AA7</f>
        <v>FGL</v>
      </c>
      <c r="AB55" s="95"/>
      <c r="AC55" s="272"/>
      <c r="AD55" s="95"/>
      <c r="AE55" s="272"/>
      <c r="AF55" s="95"/>
      <c r="AG55" s="95"/>
      <c r="AH55" s="272"/>
      <c r="AI55" s="140"/>
      <c r="AJ55" s="140"/>
      <c r="AK55" s="32"/>
      <c r="AL55" s="32"/>
      <c r="AM55" s="32"/>
      <c r="AN55" s="32"/>
      <c r="AO55" s="32"/>
    </row>
    <row r="56" spans="1:41" ht="15" customHeight="1">
      <c r="A56" s="524"/>
      <c r="B56" s="524"/>
      <c r="C56" s="524"/>
      <c r="D56" s="524"/>
      <c r="E56" s="751" t="str">
        <f>+E8</f>
        <v>Quarter </v>
      </c>
      <c r="F56" s="528"/>
      <c r="G56" s="722" t="str">
        <f>+G8</f>
        <v>Quarter </v>
      </c>
      <c r="H56" s="723"/>
      <c r="I56" s="683" t="str">
        <f>+I8</f>
        <v>Quarter </v>
      </c>
      <c r="J56" s="723"/>
      <c r="K56" s="768" t="str">
        <f>+K8</f>
        <v>Quarter </v>
      </c>
      <c r="L56" s="849"/>
      <c r="M56" s="751" t="str">
        <f>+M8</f>
        <v>half  year</v>
      </c>
      <c r="N56" s="684"/>
      <c r="O56" s="722" t="str">
        <f>+O8</f>
        <v>half  year</v>
      </c>
      <c r="P56" s="685"/>
      <c r="Q56" s="683" t="str">
        <f>+Q8</f>
        <v>half  year</v>
      </c>
      <c r="R56" s="685"/>
      <c r="S56" s="768" t="str">
        <f>+S8</f>
        <v>half  year</v>
      </c>
      <c r="T56" s="849"/>
      <c r="U56" s="854" t="str">
        <f>+U8</f>
        <v>Nine Months</v>
      </c>
      <c r="V56" s="857"/>
      <c r="W56" s="723" t="str">
        <f>+W8</f>
        <v>Nine Months</v>
      </c>
      <c r="X56" s="722"/>
      <c r="Y56" s="859" t="str">
        <f>+Y8</f>
        <v>Nine Months</v>
      </c>
      <c r="Z56" s="723"/>
      <c r="AA56" s="768" t="str">
        <f>+AA8</f>
        <v>Nine Months</v>
      </c>
      <c r="AB56" s="60"/>
      <c r="AC56" s="311"/>
      <c r="AD56" s="316"/>
      <c r="AE56" s="311"/>
      <c r="AF56" s="315"/>
      <c r="AG56" s="315"/>
      <c r="AH56" s="311" t="s">
        <v>232</v>
      </c>
      <c r="AI56" s="140"/>
      <c r="AJ56" s="140"/>
      <c r="AK56" s="32"/>
      <c r="AL56" s="275"/>
      <c r="AM56" s="59"/>
      <c r="AN56" s="303"/>
      <c r="AO56" s="32"/>
    </row>
    <row r="57" spans="1:41" ht="15" customHeight="1">
      <c r="A57" s="524"/>
      <c r="B57" s="524"/>
      <c r="C57" s="524"/>
      <c r="D57" s="524"/>
      <c r="E57" s="751" t="str">
        <f>+E9</f>
        <v>ended</v>
      </c>
      <c r="F57" s="121"/>
      <c r="G57" s="722" t="str">
        <f>+G9</f>
        <v>ended</v>
      </c>
      <c r="H57" s="723"/>
      <c r="I57" s="683" t="str">
        <f>+I9</f>
        <v>ended</v>
      </c>
      <c r="J57" s="723"/>
      <c r="K57" s="768" t="str">
        <f>+K9</f>
        <v>ended</v>
      </c>
      <c r="L57" s="849"/>
      <c r="M57" s="751" t="str">
        <f>+M9</f>
        <v>ended</v>
      </c>
      <c r="N57" s="681"/>
      <c r="O57" s="722" t="str">
        <f>+O9</f>
        <v>ended</v>
      </c>
      <c r="P57" s="685"/>
      <c r="Q57" s="683" t="str">
        <f>+Q9</f>
        <v>ended</v>
      </c>
      <c r="R57" s="685"/>
      <c r="S57" s="768" t="str">
        <f>+S9</f>
        <v>ended</v>
      </c>
      <c r="T57" s="849"/>
      <c r="U57" s="751" t="str">
        <f>+U9</f>
        <v>ended</v>
      </c>
      <c r="V57" s="529"/>
      <c r="W57" s="722" t="str">
        <f>+W9</f>
        <v>ended</v>
      </c>
      <c r="X57" s="723"/>
      <c r="Y57" s="683" t="str">
        <f>+Y9</f>
        <v>ended</v>
      </c>
      <c r="Z57" s="723"/>
      <c r="AA57" s="768" t="str">
        <f>+AA9</f>
        <v>ended</v>
      </c>
      <c r="AB57" s="60"/>
      <c r="AC57" s="311"/>
      <c r="AD57" s="316"/>
      <c r="AE57" s="311"/>
      <c r="AF57" s="315"/>
      <c r="AG57" s="315"/>
      <c r="AH57" s="311" t="s">
        <v>5</v>
      </c>
      <c r="AI57" s="140"/>
      <c r="AJ57" s="140"/>
      <c r="AK57" s="32"/>
      <c r="AL57" s="275"/>
      <c r="AM57" s="21"/>
      <c r="AN57" s="303"/>
      <c r="AO57" s="32"/>
    </row>
    <row r="58" spans="1:41" ht="15" customHeight="1">
      <c r="A58" s="524"/>
      <c r="B58" s="524"/>
      <c r="C58" s="524"/>
      <c r="D58" s="524"/>
      <c r="E58" s="751" t="str">
        <f>+E10</f>
        <v>31.12.2003</v>
      </c>
      <c r="F58" s="121"/>
      <c r="G58" s="722" t="str">
        <f>+G10</f>
        <v>31.12.2003</v>
      </c>
      <c r="H58" s="723"/>
      <c r="I58" s="683" t="str">
        <f>+I10</f>
        <v>31.12.2003</v>
      </c>
      <c r="J58" s="723"/>
      <c r="K58" s="768" t="str">
        <f>+K10</f>
        <v>31.12.2003</v>
      </c>
      <c r="L58" s="849"/>
      <c r="M58" s="751" t="str">
        <f>+M10</f>
        <v>30.09.2003</v>
      </c>
      <c r="N58" s="681"/>
      <c r="O58" s="722" t="str">
        <f>+O10</f>
        <v>30.09.2003</v>
      </c>
      <c r="P58" s="685"/>
      <c r="Q58" s="683" t="str">
        <f>+Q10</f>
        <v>30.09.2003</v>
      </c>
      <c r="R58" s="685"/>
      <c r="S58" s="768" t="str">
        <f>+S10</f>
        <v>30.09.2003</v>
      </c>
      <c r="T58" s="849"/>
      <c r="U58" s="751" t="str">
        <f>+U10</f>
        <v>31.12.2003</v>
      </c>
      <c r="V58" s="529"/>
      <c r="W58" s="722" t="str">
        <f>+W10</f>
        <v>31.12.2003</v>
      </c>
      <c r="X58" s="723"/>
      <c r="Y58" s="683" t="str">
        <f>+Y10</f>
        <v>31.12.2003</v>
      </c>
      <c r="Z58" s="723"/>
      <c r="AA58" s="768" t="str">
        <f>+AA10</f>
        <v>31.12.2003</v>
      </c>
      <c r="AB58" s="60"/>
      <c r="AC58" s="311"/>
      <c r="AD58" s="316"/>
      <c r="AE58" s="311"/>
      <c r="AF58" s="21"/>
      <c r="AG58" s="21"/>
      <c r="AH58" s="64" t="s">
        <v>233</v>
      </c>
      <c r="AI58" s="140"/>
      <c r="AJ58" s="140"/>
      <c r="AK58" s="32"/>
      <c r="AL58" s="275"/>
      <c r="AM58" s="21"/>
      <c r="AN58" s="303"/>
      <c r="AO58" s="32"/>
    </row>
    <row r="59" spans="1:41" ht="15" customHeight="1" thickBot="1">
      <c r="A59" s="524"/>
      <c r="B59" s="524"/>
      <c r="C59" s="524"/>
      <c r="D59" s="524"/>
      <c r="E59" s="752" t="str">
        <f>+E11</f>
        <v>(Unaudited)</v>
      </c>
      <c r="F59" s="530"/>
      <c r="G59" s="724" t="str">
        <f>+G11</f>
        <v>(Unaudited)</v>
      </c>
      <c r="H59" s="725"/>
      <c r="I59" s="686" t="str">
        <f>+I11</f>
        <v>(Unaudited)</v>
      </c>
      <c r="J59" s="725"/>
      <c r="K59" s="769" t="str">
        <f>+K11</f>
        <v>(Unaudited)</v>
      </c>
      <c r="L59" s="850"/>
      <c r="M59" s="752" t="str">
        <f>+M11</f>
        <v>(Unaudited)</v>
      </c>
      <c r="N59" s="687"/>
      <c r="O59" s="724" t="str">
        <f>+O11</f>
        <v>(Unaudited)</v>
      </c>
      <c r="P59" s="688"/>
      <c r="Q59" s="686" t="str">
        <f>+Q11</f>
        <v>(Unaudited)</v>
      </c>
      <c r="R59" s="688"/>
      <c r="S59" s="769" t="str">
        <f>+S11</f>
        <v>(Unaudited)</v>
      </c>
      <c r="T59" s="850"/>
      <c r="U59" s="752" t="str">
        <f>+U11</f>
        <v>(Unaudited)</v>
      </c>
      <c r="V59" s="531"/>
      <c r="W59" s="724" t="str">
        <f>+W11</f>
        <v>(Unaudited)</v>
      </c>
      <c r="X59" s="725"/>
      <c r="Y59" s="686" t="str">
        <f>+Y11</f>
        <v>(Unaudited)</v>
      </c>
      <c r="Z59" s="725"/>
      <c r="AA59" s="769" t="str">
        <f>+AA11</f>
        <v>(Unaudited)</v>
      </c>
      <c r="AB59" s="32"/>
      <c r="AC59" s="317" t="s">
        <v>336</v>
      </c>
      <c r="AD59" s="320"/>
      <c r="AE59" s="317" t="s">
        <v>337</v>
      </c>
      <c r="AF59" s="14"/>
      <c r="AG59" s="14"/>
      <c r="AH59" s="107" t="s">
        <v>156</v>
      </c>
      <c r="AI59" s="140"/>
      <c r="AJ59" s="140"/>
      <c r="AK59" s="32"/>
      <c r="AL59" s="275"/>
      <c r="AM59" s="21"/>
      <c r="AN59" s="303"/>
      <c r="AO59" s="32"/>
    </row>
    <row r="60" spans="1:41" ht="15" customHeight="1">
      <c r="A60" s="524"/>
      <c r="B60" s="524"/>
      <c r="C60" s="524"/>
      <c r="D60" s="524"/>
      <c r="E60" s="753"/>
      <c r="F60" s="527"/>
      <c r="G60" s="726"/>
      <c r="H60" s="293"/>
      <c r="I60" s="689"/>
      <c r="J60" s="293"/>
      <c r="K60" s="864"/>
      <c r="L60" s="847"/>
      <c r="M60" s="753"/>
      <c r="N60" s="678"/>
      <c r="O60" s="726"/>
      <c r="P60" s="681"/>
      <c r="Q60" s="689"/>
      <c r="R60" s="681"/>
      <c r="S60" s="864"/>
      <c r="T60" s="847"/>
      <c r="U60" s="753"/>
      <c r="V60" s="121"/>
      <c r="W60" s="726"/>
      <c r="X60" s="293"/>
      <c r="Y60" s="689"/>
      <c r="Z60" s="293"/>
      <c r="AA60" s="864"/>
      <c r="AB60" s="140"/>
      <c r="AC60" s="418"/>
      <c r="AD60" s="140"/>
      <c r="AE60" s="418"/>
      <c r="AF60" s="140"/>
      <c r="AG60" s="140"/>
      <c r="AH60" s="418"/>
      <c r="AI60" s="140"/>
      <c r="AJ60" s="140"/>
      <c r="AK60" s="32"/>
      <c r="AL60" s="32"/>
      <c r="AM60" s="32"/>
      <c r="AN60" s="304"/>
      <c r="AO60" s="32"/>
    </row>
    <row r="61" spans="1:41" ht="15" customHeight="1">
      <c r="A61" s="524">
        <v>1</v>
      </c>
      <c r="B61" s="524"/>
      <c r="C61" s="532" t="s">
        <v>31</v>
      </c>
      <c r="D61" s="532"/>
      <c r="E61" s="134"/>
      <c r="F61" s="533"/>
      <c r="G61" s="508"/>
      <c r="H61" s="306"/>
      <c r="I61" s="690"/>
      <c r="J61" s="306"/>
      <c r="K61" s="760"/>
      <c r="L61" s="846"/>
      <c r="M61" s="134"/>
      <c r="N61" s="691"/>
      <c r="O61" s="508"/>
      <c r="P61" s="692"/>
      <c r="Q61" s="690"/>
      <c r="R61" s="692"/>
      <c r="S61" s="760"/>
      <c r="T61" s="846"/>
      <c r="U61" s="136"/>
      <c r="V61" s="121"/>
      <c r="W61" s="508"/>
      <c r="X61" s="306"/>
      <c r="Y61" s="690"/>
      <c r="Z61" s="306"/>
      <c r="AA61" s="760"/>
      <c r="AB61" s="140"/>
      <c r="AC61" s="422"/>
      <c r="AD61" s="140"/>
      <c r="AE61" s="422"/>
      <c r="AF61" s="140"/>
      <c r="AG61" s="140"/>
      <c r="AH61" s="422"/>
      <c r="AI61" s="140"/>
      <c r="AJ61" s="140"/>
      <c r="AK61" s="32"/>
      <c r="AL61" s="32"/>
      <c r="AM61" s="32"/>
      <c r="AN61" s="304"/>
      <c r="AO61" s="32"/>
    </row>
    <row r="62" spans="1:41" ht="15" customHeight="1">
      <c r="A62" s="524"/>
      <c r="B62" s="524"/>
      <c r="C62" s="534" t="s">
        <v>32</v>
      </c>
      <c r="D62" s="534"/>
      <c r="E62" s="754"/>
      <c r="F62" s="535"/>
      <c r="G62" s="727"/>
      <c r="H62" s="728"/>
      <c r="I62" s="693"/>
      <c r="J62" s="728"/>
      <c r="K62" s="770"/>
      <c r="L62" s="851"/>
      <c r="M62" s="754"/>
      <c r="N62" s="694"/>
      <c r="O62" s="727"/>
      <c r="P62" s="694"/>
      <c r="Q62" s="693"/>
      <c r="R62" s="694"/>
      <c r="S62" s="770"/>
      <c r="T62" s="851"/>
      <c r="U62" s="136"/>
      <c r="V62" s="121"/>
      <c r="W62" s="727"/>
      <c r="X62" s="728"/>
      <c r="Y62" s="693"/>
      <c r="Z62" s="728"/>
      <c r="AA62" s="770"/>
      <c r="AB62" s="140"/>
      <c r="AC62" s="422"/>
      <c r="AD62" s="140"/>
      <c r="AE62" s="422"/>
      <c r="AF62" s="140"/>
      <c r="AG62" s="140"/>
      <c r="AH62" s="422"/>
      <c r="AI62" s="140"/>
      <c r="AJ62" s="140"/>
      <c r="AK62" s="32"/>
      <c r="AL62" s="32"/>
      <c r="AM62" s="32"/>
      <c r="AN62" s="304"/>
      <c r="AO62" s="32"/>
    </row>
    <row r="63" spans="1:41" ht="15" customHeight="1">
      <c r="A63" s="524"/>
      <c r="B63" s="524"/>
      <c r="C63" s="524"/>
      <c r="D63" s="524"/>
      <c r="E63" s="136"/>
      <c r="F63" s="527"/>
      <c r="G63" s="127"/>
      <c r="H63" s="293"/>
      <c r="I63" s="695"/>
      <c r="J63" s="293"/>
      <c r="K63" s="760"/>
      <c r="L63" s="847"/>
      <c r="M63" s="136"/>
      <c r="N63" s="678"/>
      <c r="O63" s="127"/>
      <c r="P63" s="681"/>
      <c r="Q63" s="695"/>
      <c r="R63" s="681"/>
      <c r="S63" s="760"/>
      <c r="T63" s="847"/>
      <c r="U63" s="136"/>
      <c r="V63" s="121"/>
      <c r="W63" s="127"/>
      <c r="X63" s="293"/>
      <c r="Y63" s="695"/>
      <c r="Z63" s="293"/>
      <c r="AA63" s="760"/>
      <c r="AB63" s="140"/>
      <c r="AC63" s="422"/>
      <c r="AD63" s="140"/>
      <c r="AE63" s="422"/>
      <c r="AF63" s="140"/>
      <c r="AG63" s="140"/>
      <c r="AH63" s="422"/>
      <c r="AI63" s="140"/>
      <c r="AJ63" s="140"/>
      <c r="AK63" s="32"/>
      <c r="AL63" s="32"/>
      <c r="AM63" s="32"/>
      <c r="AN63" s="304"/>
      <c r="AO63" s="32"/>
    </row>
    <row r="64" spans="1:53" ht="15" customHeight="1">
      <c r="A64" s="524"/>
      <c r="B64" s="524"/>
      <c r="C64" s="524" t="s">
        <v>168</v>
      </c>
      <c r="D64" s="524"/>
      <c r="E64" s="136">
        <f aca="true" t="shared" si="1" ref="E64:E71">+U64-M64</f>
        <v>6380.5599999999995</v>
      </c>
      <c r="F64" s="527"/>
      <c r="G64" s="127">
        <f aca="true" t="shared" si="2" ref="G64:G69">+W64-O64</f>
        <v>0</v>
      </c>
      <c r="H64" s="307"/>
      <c r="I64" s="695" t="e">
        <f aca="true" t="shared" si="3" ref="I64:I69">+Y64-Q64</f>
        <v>#REF!</v>
      </c>
      <c r="J64" s="293"/>
      <c r="K64" s="760" t="e">
        <f>+AE64-S64</f>
        <v>#REF!</v>
      </c>
      <c r="L64" s="847"/>
      <c r="M64" s="136">
        <v>12164.13</v>
      </c>
      <c r="N64" s="678"/>
      <c r="O64" s="127">
        <v>0</v>
      </c>
      <c r="P64" s="681"/>
      <c r="Q64" s="695">
        <v>1118.46</v>
      </c>
      <c r="R64" s="681"/>
      <c r="S64" s="760">
        <f aca="true" t="shared" si="4" ref="S64:S69">+M64+O64+Q64</f>
        <v>13282.59</v>
      </c>
      <c r="T64" s="847"/>
      <c r="U64" s="136">
        <v>18544.69</v>
      </c>
      <c r="V64" s="121"/>
      <c r="W64" s="127">
        <v>0</v>
      </c>
      <c r="X64" s="293"/>
      <c r="Y64" s="695" t="e">
        <f>+#REF!</f>
        <v>#REF!</v>
      </c>
      <c r="Z64" s="293"/>
      <c r="AA64" s="760" t="e">
        <f aca="true" t="shared" si="5" ref="AA64:AA69">+U64+W64+Y64</f>
        <v>#REF!</v>
      </c>
      <c r="AB64" s="115"/>
      <c r="AC64" s="135">
        <f>90.06+397.3</f>
        <v>487.36</v>
      </c>
      <c r="AD64" s="115"/>
      <c r="AE64" s="135" t="e">
        <f aca="true" t="shared" si="6" ref="AE64:AE69">+AA64-AC64</f>
        <v>#REF!</v>
      </c>
      <c r="AF64" s="121"/>
      <c r="AG64" s="121"/>
      <c r="AH64" s="135">
        <v>6903.4</v>
      </c>
      <c r="AI64" s="140"/>
      <c r="AJ64" s="14"/>
      <c r="AK64" s="32"/>
      <c r="AL64" s="115"/>
      <c r="AM64" s="115"/>
      <c r="AN64" s="305"/>
      <c r="AO64" s="32"/>
      <c r="AY64" s="43">
        <v>115.71</v>
      </c>
      <c r="AZ64" s="42"/>
      <c r="BA64" s="43"/>
    </row>
    <row r="65" spans="1:53" ht="15" customHeight="1">
      <c r="A65" s="524"/>
      <c r="B65" s="524"/>
      <c r="C65" s="524" t="s">
        <v>33</v>
      </c>
      <c r="D65" s="524"/>
      <c r="E65" s="136" t="e">
        <f t="shared" si="1"/>
        <v>#REF!</v>
      </c>
      <c r="F65" s="527"/>
      <c r="G65" s="127">
        <f t="shared" si="2"/>
        <v>0</v>
      </c>
      <c r="H65" s="307"/>
      <c r="I65" s="695">
        <f t="shared" si="3"/>
        <v>0</v>
      </c>
      <c r="J65" s="293"/>
      <c r="K65" s="760" t="e">
        <f aca="true" t="shared" si="7" ref="K65:K71">+AE65-S65</f>
        <v>#REF!</v>
      </c>
      <c r="L65" s="847"/>
      <c r="M65" s="136">
        <v>2100.01</v>
      </c>
      <c r="N65" s="678"/>
      <c r="O65" s="127">
        <v>0</v>
      </c>
      <c r="P65" s="681"/>
      <c r="Q65" s="695">
        <v>0</v>
      </c>
      <c r="R65" s="681"/>
      <c r="S65" s="760">
        <f t="shared" si="4"/>
        <v>2100.01</v>
      </c>
      <c r="T65" s="847"/>
      <c r="U65" s="136" t="e">
        <f>+#REF!</f>
        <v>#REF!</v>
      </c>
      <c r="V65" s="121"/>
      <c r="W65" s="127">
        <v>0</v>
      </c>
      <c r="X65" s="293"/>
      <c r="Y65" s="695">
        <v>0</v>
      </c>
      <c r="Z65" s="293"/>
      <c r="AA65" s="760" t="e">
        <f t="shared" si="5"/>
        <v>#REF!</v>
      </c>
      <c r="AB65" s="115"/>
      <c r="AC65" s="135">
        <v>0</v>
      </c>
      <c r="AD65" s="115"/>
      <c r="AE65" s="135" t="e">
        <f t="shared" si="6"/>
        <v>#REF!</v>
      </c>
      <c r="AF65" s="121"/>
      <c r="AG65" s="121"/>
      <c r="AH65" s="135">
        <v>1299.97</v>
      </c>
      <c r="AI65" s="140"/>
      <c r="AJ65" s="14"/>
      <c r="AK65" s="32"/>
      <c r="AL65" s="115"/>
      <c r="AM65" s="115"/>
      <c r="AN65" s="293"/>
      <c r="AO65" s="32"/>
      <c r="AY65" s="43">
        <v>18.88</v>
      </c>
      <c r="AZ65" s="42"/>
      <c r="BA65" s="43"/>
    </row>
    <row r="66" spans="1:53" ht="15" customHeight="1">
      <c r="A66" s="524"/>
      <c r="B66" s="524"/>
      <c r="C66" s="524" t="s">
        <v>167</v>
      </c>
      <c r="D66" s="524"/>
      <c r="E66" s="136">
        <f t="shared" si="1"/>
        <v>0</v>
      </c>
      <c r="F66" s="527"/>
      <c r="G66" s="127" t="e">
        <f t="shared" si="2"/>
        <v>#REF!</v>
      </c>
      <c r="H66" s="307"/>
      <c r="I66" s="695">
        <f t="shared" si="3"/>
        <v>0</v>
      </c>
      <c r="J66" s="293"/>
      <c r="K66" s="760" t="e">
        <f t="shared" si="7"/>
        <v>#REF!</v>
      </c>
      <c r="L66" s="847"/>
      <c r="M66" s="136">
        <v>0</v>
      </c>
      <c r="N66" s="678"/>
      <c r="O66" s="127">
        <v>2265.92</v>
      </c>
      <c r="P66" s="681"/>
      <c r="Q66" s="695">
        <v>0</v>
      </c>
      <c r="R66" s="681"/>
      <c r="S66" s="760">
        <f t="shared" si="4"/>
        <v>2265.92</v>
      </c>
      <c r="T66" s="847"/>
      <c r="U66" s="136">
        <v>0</v>
      </c>
      <c r="V66" s="121"/>
      <c r="W66" s="127" t="e">
        <f>+#REF!</f>
        <v>#REF!</v>
      </c>
      <c r="X66" s="293"/>
      <c r="Y66" s="695">
        <v>0</v>
      </c>
      <c r="Z66" s="293"/>
      <c r="AA66" s="760" t="e">
        <f t="shared" si="5"/>
        <v>#REF!</v>
      </c>
      <c r="AB66" s="115"/>
      <c r="AC66" s="135">
        <v>0</v>
      </c>
      <c r="AD66" s="115"/>
      <c r="AE66" s="135" t="e">
        <f t="shared" si="6"/>
        <v>#REF!</v>
      </c>
      <c r="AF66" s="121"/>
      <c r="AG66" s="121"/>
      <c r="AH66" s="135">
        <v>1078.94</v>
      </c>
      <c r="AI66" s="140"/>
      <c r="AJ66" s="14"/>
      <c r="AK66" s="32"/>
      <c r="AL66" s="115"/>
      <c r="AM66" s="115"/>
      <c r="AN66" s="293"/>
      <c r="AO66" s="32"/>
      <c r="AY66" s="43"/>
      <c r="AZ66" s="42"/>
      <c r="BA66" s="43"/>
    </row>
    <row r="67" spans="1:53" ht="15.75">
      <c r="A67" s="524"/>
      <c r="B67" s="524"/>
      <c r="C67" s="524" t="s">
        <v>166</v>
      </c>
      <c r="D67" s="524"/>
      <c r="E67" s="136" t="e">
        <f t="shared" si="1"/>
        <v>#REF!</v>
      </c>
      <c r="F67" s="527"/>
      <c r="G67" s="127">
        <f t="shared" si="2"/>
        <v>0</v>
      </c>
      <c r="H67" s="307"/>
      <c r="I67" s="695">
        <f t="shared" si="3"/>
        <v>0</v>
      </c>
      <c r="J67" s="293"/>
      <c r="K67" s="760" t="e">
        <f t="shared" si="7"/>
        <v>#REF!</v>
      </c>
      <c r="L67" s="847"/>
      <c r="M67" s="136">
        <v>1603.78</v>
      </c>
      <c r="N67" s="678"/>
      <c r="O67" s="127">
        <v>0</v>
      </c>
      <c r="P67" s="681"/>
      <c r="Q67" s="695">
        <v>0</v>
      </c>
      <c r="R67" s="681"/>
      <c r="S67" s="760">
        <f t="shared" si="4"/>
        <v>1603.78</v>
      </c>
      <c r="T67" s="847"/>
      <c r="U67" s="136" t="e">
        <f>+#REF!</f>
        <v>#REF!</v>
      </c>
      <c r="V67" s="121"/>
      <c r="W67" s="127">
        <v>0</v>
      </c>
      <c r="X67" s="293"/>
      <c r="Y67" s="695">
        <v>0</v>
      </c>
      <c r="Z67" s="293"/>
      <c r="AA67" s="760" t="e">
        <f t="shared" si="5"/>
        <v>#REF!</v>
      </c>
      <c r="AB67" s="115"/>
      <c r="AC67" s="135">
        <v>0</v>
      </c>
      <c r="AD67" s="115"/>
      <c r="AE67" s="135" t="e">
        <f t="shared" si="6"/>
        <v>#REF!</v>
      </c>
      <c r="AF67" s="121"/>
      <c r="AG67" s="121"/>
      <c r="AH67" s="135">
        <v>735.04</v>
      </c>
      <c r="AI67" s="140"/>
      <c r="AJ67" s="14"/>
      <c r="AK67" s="32"/>
      <c r="AL67" s="115"/>
      <c r="AM67" s="115"/>
      <c r="AN67" s="293"/>
      <c r="AO67" s="32"/>
      <c r="AY67" s="43"/>
      <c r="AZ67" s="42"/>
      <c r="BA67" s="43"/>
    </row>
    <row r="68" spans="1:53" ht="15.75">
      <c r="A68" s="524"/>
      <c r="B68" s="524"/>
      <c r="C68" s="524" t="s">
        <v>198</v>
      </c>
      <c r="D68" s="524"/>
      <c r="E68" s="136" t="e">
        <f t="shared" si="1"/>
        <v>#REF!</v>
      </c>
      <c r="F68" s="527"/>
      <c r="G68" s="127">
        <f t="shared" si="2"/>
        <v>0</v>
      </c>
      <c r="H68" s="307"/>
      <c r="I68" s="695">
        <f t="shared" si="3"/>
        <v>0</v>
      </c>
      <c r="J68" s="293"/>
      <c r="K68" s="760" t="e">
        <f t="shared" si="7"/>
        <v>#REF!</v>
      </c>
      <c r="L68" s="847"/>
      <c r="M68" s="136">
        <v>249.01</v>
      </c>
      <c r="N68" s="678"/>
      <c r="O68" s="127">
        <v>0</v>
      </c>
      <c r="P68" s="681"/>
      <c r="Q68" s="695">
        <v>0</v>
      </c>
      <c r="R68" s="681"/>
      <c r="S68" s="760">
        <f t="shared" si="4"/>
        <v>249.01</v>
      </c>
      <c r="T68" s="847"/>
      <c r="U68" s="136" t="e">
        <f>+#REF!</f>
        <v>#REF!</v>
      </c>
      <c r="V68" s="121"/>
      <c r="W68" s="127">
        <v>0</v>
      </c>
      <c r="X68" s="293"/>
      <c r="Y68" s="695">
        <v>0</v>
      </c>
      <c r="Z68" s="293"/>
      <c r="AA68" s="760" t="e">
        <f t="shared" si="5"/>
        <v>#REF!</v>
      </c>
      <c r="AB68" s="115"/>
      <c r="AC68" s="135">
        <v>0</v>
      </c>
      <c r="AD68" s="115"/>
      <c r="AE68" s="135" t="e">
        <f t="shared" si="6"/>
        <v>#REF!</v>
      </c>
      <c r="AF68" s="121"/>
      <c r="AG68" s="121"/>
      <c r="AH68" s="135">
        <v>150.56</v>
      </c>
      <c r="AI68" s="140"/>
      <c r="AJ68" s="14"/>
      <c r="AK68" s="32"/>
      <c r="AL68" s="115"/>
      <c r="AM68" s="115"/>
      <c r="AN68" s="293"/>
      <c r="AO68" s="32"/>
      <c r="AY68" s="43"/>
      <c r="AZ68" s="42"/>
      <c r="BA68" s="43"/>
    </row>
    <row r="69" spans="1:53" ht="15" customHeight="1">
      <c r="A69" s="524"/>
      <c r="B69" s="524"/>
      <c r="C69" s="524" t="s">
        <v>203</v>
      </c>
      <c r="D69" s="524"/>
      <c r="E69" s="429" t="e">
        <f t="shared" si="1"/>
        <v>#REF!</v>
      </c>
      <c r="F69" s="527"/>
      <c r="G69" s="729">
        <f t="shared" si="2"/>
        <v>0</v>
      </c>
      <c r="H69" s="307"/>
      <c r="I69" s="696">
        <f t="shared" si="3"/>
        <v>0</v>
      </c>
      <c r="J69" s="293"/>
      <c r="K69" s="760" t="e">
        <f t="shared" si="7"/>
        <v>#REF!</v>
      </c>
      <c r="L69" s="847"/>
      <c r="M69" s="429">
        <v>393.64</v>
      </c>
      <c r="N69" s="678"/>
      <c r="O69" s="729">
        <v>0</v>
      </c>
      <c r="P69" s="681"/>
      <c r="Q69" s="696">
        <v>0</v>
      </c>
      <c r="R69" s="681"/>
      <c r="S69" s="865">
        <f t="shared" si="4"/>
        <v>393.64</v>
      </c>
      <c r="T69" s="847"/>
      <c r="U69" s="429" t="e">
        <f>+#REF!</f>
        <v>#REF!</v>
      </c>
      <c r="V69" s="121"/>
      <c r="W69" s="729">
        <v>0</v>
      </c>
      <c r="X69" s="293"/>
      <c r="Y69" s="696">
        <v>0</v>
      </c>
      <c r="Z69" s="293"/>
      <c r="AA69" s="865" t="e">
        <f t="shared" si="5"/>
        <v>#REF!</v>
      </c>
      <c r="AB69" s="115"/>
      <c r="AC69" s="423">
        <v>0</v>
      </c>
      <c r="AD69" s="115"/>
      <c r="AE69" s="423" t="e">
        <f t="shared" si="6"/>
        <v>#REF!</v>
      </c>
      <c r="AF69" s="121"/>
      <c r="AG69" s="121"/>
      <c r="AH69" s="423">
        <v>58.09</v>
      </c>
      <c r="AI69" s="140"/>
      <c r="AJ69" s="14"/>
      <c r="AK69" s="32"/>
      <c r="AL69" s="115"/>
      <c r="AM69" s="115"/>
      <c r="AN69" s="293"/>
      <c r="AO69" s="32"/>
      <c r="AY69" s="43">
        <v>10.89</v>
      </c>
      <c r="AZ69" s="42"/>
      <c r="BA69" s="43"/>
    </row>
    <row r="70" spans="1:53" ht="15" customHeight="1">
      <c r="A70" s="524"/>
      <c r="B70" s="524"/>
      <c r="C70" s="532" t="s">
        <v>41</v>
      </c>
      <c r="D70" s="532"/>
      <c r="E70" s="134" t="e">
        <f>SUM(E64:E69)</f>
        <v>#REF!</v>
      </c>
      <c r="F70" s="533"/>
      <c r="G70" s="508" t="e">
        <f>SUM(G64:G69)</f>
        <v>#REF!</v>
      </c>
      <c r="H70" s="306"/>
      <c r="I70" s="690" t="e">
        <f>SUM(I64:I69)</f>
        <v>#REF!</v>
      </c>
      <c r="J70" s="306"/>
      <c r="K70" s="760" t="e">
        <f>SUM(K64:K69)</f>
        <v>#REF!</v>
      </c>
      <c r="L70" s="846"/>
      <c r="M70" s="134">
        <f>SUM(M64:M69)</f>
        <v>16510.57</v>
      </c>
      <c r="N70" s="691"/>
      <c r="O70" s="730">
        <f>SUM(O64:O69)</f>
        <v>2265.92</v>
      </c>
      <c r="P70" s="692"/>
      <c r="Q70" s="690">
        <f>SUM(Q64:Q69)</f>
        <v>1118.46</v>
      </c>
      <c r="R70" s="692"/>
      <c r="S70" s="760">
        <f>SUM(S64:S69)</f>
        <v>19894.949999999997</v>
      </c>
      <c r="T70" s="846"/>
      <c r="U70" s="134" t="e">
        <f>SUM(U64:U69)</f>
        <v>#REF!</v>
      </c>
      <c r="V70" s="118"/>
      <c r="W70" s="730" t="e">
        <f>SUM(W64:W69)</f>
        <v>#REF!</v>
      </c>
      <c r="X70" s="306"/>
      <c r="Y70" s="697" t="e">
        <f>SUM(Y64:Y69)</f>
        <v>#REF!</v>
      </c>
      <c r="Z70" s="306"/>
      <c r="AA70" s="760" t="e">
        <f>SUM(AA64:AA69)</f>
        <v>#REF!</v>
      </c>
      <c r="AB70" s="128"/>
      <c r="AC70" s="133">
        <f>SUM(AC64:AC69)</f>
        <v>487.36</v>
      </c>
      <c r="AD70" s="128"/>
      <c r="AE70" s="133" t="e">
        <f>SUM(AE64:AE69)</f>
        <v>#REF!</v>
      </c>
      <c r="AF70" s="121"/>
      <c r="AG70" s="121"/>
      <c r="AH70" s="133">
        <f>SUM(AH64:AH69)</f>
        <v>10225.999999999998</v>
      </c>
      <c r="AI70" s="140"/>
      <c r="AJ70" s="14"/>
      <c r="AK70" s="32"/>
      <c r="AL70" s="128"/>
      <c r="AM70" s="115"/>
      <c r="AN70" s="306"/>
      <c r="AO70" s="32"/>
      <c r="AY70" s="43">
        <v>152.14</v>
      </c>
      <c r="AZ70" s="42"/>
      <c r="BA70" s="43" t="e">
        <f>+#REF!-AY70</f>
        <v>#REF!</v>
      </c>
    </row>
    <row r="71" spans="1:53" ht="18" customHeight="1">
      <c r="A71" s="524"/>
      <c r="B71" s="524"/>
      <c r="C71" s="532" t="s">
        <v>262</v>
      </c>
      <c r="D71" s="532"/>
      <c r="E71" s="429" t="e">
        <f t="shared" si="1"/>
        <v>#REF!</v>
      </c>
      <c r="F71" s="533"/>
      <c r="G71" s="729">
        <f>+W71-O71</f>
        <v>0</v>
      </c>
      <c r="H71" s="307"/>
      <c r="I71" s="696">
        <f>+Y71-Q71</f>
        <v>0</v>
      </c>
      <c r="J71" s="293"/>
      <c r="K71" s="760" t="e">
        <f t="shared" si="7"/>
        <v>#REF!</v>
      </c>
      <c r="L71" s="847"/>
      <c r="M71" s="429">
        <v>39.14</v>
      </c>
      <c r="N71" s="691"/>
      <c r="O71" s="729">
        <v>0</v>
      </c>
      <c r="P71" s="681"/>
      <c r="Q71" s="696">
        <v>0</v>
      </c>
      <c r="R71" s="681"/>
      <c r="S71" s="760">
        <f>+M71+O71+Q71</f>
        <v>39.14</v>
      </c>
      <c r="T71" s="847"/>
      <c r="U71" s="136" t="e">
        <f>+#REF!</f>
        <v>#REF!</v>
      </c>
      <c r="V71" s="121"/>
      <c r="W71" s="729">
        <v>0</v>
      </c>
      <c r="X71" s="293"/>
      <c r="Y71" s="696">
        <v>0</v>
      </c>
      <c r="Z71" s="293"/>
      <c r="AA71" s="760" t="e">
        <f>+U71+W71+Y71</f>
        <v>#REF!</v>
      </c>
      <c r="AB71" s="115"/>
      <c r="AC71" s="135">
        <v>0</v>
      </c>
      <c r="AD71" s="115"/>
      <c r="AE71" s="135" t="e">
        <f>+AA71-AC71</f>
        <v>#REF!</v>
      </c>
      <c r="AF71" s="121"/>
      <c r="AG71" s="121"/>
      <c r="AH71" s="135">
        <v>34.94</v>
      </c>
      <c r="AI71" s="140"/>
      <c r="AJ71" s="14"/>
      <c r="AK71" s="32"/>
      <c r="AL71" s="115"/>
      <c r="AM71" s="115"/>
      <c r="AN71" s="293"/>
      <c r="AO71" s="32"/>
      <c r="AY71" s="43">
        <v>0.73</v>
      </c>
      <c r="AZ71" s="42"/>
      <c r="BA71" s="43"/>
    </row>
    <row r="72" spans="1:53" ht="15" customHeight="1" thickBot="1">
      <c r="A72" s="524"/>
      <c r="B72" s="524"/>
      <c r="C72" s="524"/>
      <c r="D72" s="524"/>
      <c r="E72" s="430" t="e">
        <f>+E70-E71</f>
        <v>#REF!</v>
      </c>
      <c r="F72" s="527"/>
      <c r="G72" s="731" t="e">
        <f>+G70-G71</f>
        <v>#REF!</v>
      </c>
      <c r="H72" s="306"/>
      <c r="I72" s="698" t="e">
        <f>+I70-I71</f>
        <v>#REF!</v>
      </c>
      <c r="J72" s="306"/>
      <c r="K72" s="771" t="e">
        <f>+K70-K71</f>
        <v>#REF!</v>
      </c>
      <c r="L72" s="846"/>
      <c r="M72" s="430">
        <f>+M70-M71</f>
        <v>16471.43</v>
      </c>
      <c r="N72" s="678"/>
      <c r="O72" s="731">
        <f>+O70-O71</f>
        <v>2265.92</v>
      </c>
      <c r="P72" s="692"/>
      <c r="Q72" s="698">
        <f>+Q70-Q71</f>
        <v>1118.46</v>
      </c>
      <c r="R72" s="692"/>
      <c r="S72" s="771">
        <f>+S70-S71</f>
        <v>19855.809999999998</v>
      </c>
      <c r="T72" s="846"/>
      <c r="U72" s="430" t="e">
        <f>+U70-U71</f>
        <v>#REF!</v>
      </c>
      <c r="V72" s="118"/>
      <c r="W72" s="731" t="e">
        <f>+W70-W71</f>
        <v>#REF!</v>
      </c>
      <c r="X72" s="306"/>
      <c r="Y72" s="698" t="e">
        <f>+Y70-Y71</f>
        <v>#REF!</v>
      </c>
      <c r="Z72" s="306"/>
      <c r="AA72" s="771" t="e">
        <f>+AA70-AA71</f>
        <v>#REF!</v>
      </c>
      <c r="AB72" s="128"/>
      <c r="AC72" s="424">
        <f>+AC70-AC71</f>
        <v>487.36</v>
      </c>
      <c r="AD72" s="128"/>
      <c r="AE72" s="424" t="e">
        <f>+AE70-AE71</f>
        <v>#REF!</v>
      </c>
      <c r="AF72" s="121"/>
      <c r="AG72" s="121"/>
      <c r="AH72" s="424">
        <f>+AH70-AH71</f>
        <v>10191.059999999998</v>
      </c>
      <c r="AI72" s="140"/>
      <c r="AJ72" s="14"/>
      <c r="AK72" s="32"/>
      <c r="AL72" s="128"/>
      <c r="AM72" s="115"/>
      <c r="AN72" s="306"/>
      <c r="AO72" s="32"/>
      <c r="AY72" s="43">
        <f>+AY70-AY71</f>
        <v>151.41</v>
      </c>
      <c r="AZ72" s="42"/>
      <c r="BA72" s="43"/>
    </row>
    <row r="73" spans="1:53" ht="15" customHeight="1" thickTop="1">
      <c r="A73" s="524"/>
      <c r="B73" s="524"/>
      <c r="C73" s="524"/>
      <c r="D73" s="524"/>
      <c r="E73" s="136"/>
      <c r="F73" s="527"/>
      <c r="G73" s="732"/>
      <c r="H73" s="293"/>
      <c r="I73" s="699"/>
      <c r="J73" s="293"/>
      <c r="K73" s="764"/>
      <c r="L73" s="847"/>
      <c r="M73" s="136"/>
      <c r="N73" s="678"/>
      <c r="O73" s="732"/>
      <c r="P73" s="681"/>
      <c r="Q73" s="699"/>
      <c r="R73" s="681"/>
      <c r="S73" s="764"/>
      <c r="T73" s="847"/>
      <c r="U73" s="136"/>
      <c r="V73" s="121"/>
      <c r="W73" s="732"/>
      <c r="X73" s="293"/>
      <c r="Y73" s="699"/>
      <c r="Z73" s="293"/>
      <c r="AA73" s="764"/>
      <c r="AB73" s="115"/>
      <c r="AC73" s="135"/>
      <c r="AD73" s="115"/>
      <c r="AE73" s="135"/>
      <c r="AF73" s="121"/>
      <c r="AG73" s="121"/>
      <c r="AH73" s="135"/>
      <c r="AI73" s="140"/>
      <c r="AJ73" s="14"/>
      <c r="AK73" s="32"/>
      <c r="AL73" s="115"/>
      <c r="AM73" s="115"/>
      <c r="AN73" s="293"/>
      <c r="AO73" s="32"/>
      <c r="AY73" s="43" t="e">
        <f>+#REF!-AY72</f>
        <v>#REF!</v>
      </c>
      <c r="AZ73" s="42"/>
      <c r="BA73" s="43"/>
    </row>
    <row r="74" spans="1:53" ht="15" customHeight="1">
      <c r="A74" s="524">
        <v>2</v>
      </c>
      <c r="B74" s="524"/>
      <c r="C74" s="536" t="s">
        <v>207</v>
      </c>
      <c r="D74" s="536"/>
      <c r="E74" s="136"/>
      <c r="F74" s="118"/>
      <c r="G74" s="127"/>
      <c r="H74" s="293"/>
      <c r="I74" s="695"/>
      <c r="J74" s="293"/>
      <c r="K74" s="760"/>
      <c r="L74" s="847"/>
      <c r="M74" s="136"/>
      <c r="N74" s="692"/>
      <c r="O74" s="127"/>
      <c r="P74" s="681"/>
      <c r="Q74" s="695"/>
      <c r="R74" s="681"/>
      <c r="S74" s="760"/>
      <c r="T74" s="847"/>
      <c r="U74" s="136"/>
      <c r="V74" s="121"/>
      <c r="W74" s="127"/>
      <c r="X74" s="293"/>
      <c r="Y74" s="695"/>
      <c r="Z74" s="293"/>
      <c r="AA74" s="760"/>
      <c r="AB74" s="115"/>
      <c r="AC74" s="135"/>
      <c r="AD74" s="115"/>
      <c r="AE74" s="135"/>
      <c r="AF74" s="121"/>
      <c r="AG74" s="121"/>
      <c r="AH74" s="135"/>
      <c r="AI74" s="140"/>
      <c r="AJ74" s="14"/>
      <c r="AK74" s="32"/>
      <c r="AL74" s="115"/>
      <c r="AM74" s="115"/>
      <c r="AN74" s="293"/>
      <c r="AO74" s="32"/>
      <c r="AY74" s="43"/>
      <c r="AZ74" s="42"/>
      <c r="BA74" s="43"/>
    </row>
    <row r="75" spans="1:53" ht="15" customHeight="1">
      <c r="A75" s="524"/>
      <c r="B75" s="524"/>
      <c r="C75" s="534" t="s">
        <v>35</v>
      </c>
      <c r="D75" s="534"/>
      <c r="E75" s="136"/>
      <c r="F75" s="535"/>
      <c r="G75" s="127"/>
      <c r="H75" s="293"/>
      <c r="I75" s="695"/>
      <c r="J75" s="293"/>
      <c r="K75" s="760"/>
      <c r="L75" s="847"/>
      <c r="M75" s="136"/>
      <c r="N75" s="694"/>
      <c r="O75" s="127"/>
      <c r="P75" s="681"/>
      <c r="Q75" s="695"/>
      <c r="R75" s="681"/>
      <c r="S75" s="760"/>
      <c r="T75" s="847"/>
      <c r="U75" s="136"/>
      <c r="V75" s="121"/>
      <c r="W75" s="127"/>
      <c r="X75" s="293"/>
      <c r="Y75" s="695"/>
      <c r="Z75" s="293"/>
      <c r="AA75" s="760"/>
      <c r="AB75" s="115"/>
      <c r="AC75" s="135"/>
      <c r="AD75" s="115"/>
      <c r="AE75" s="135"/>
      <c r="AF75" s="121"/>
      <c r="AG75" s="121"/>
      <c r="AH75" s="135"/>
      <c r="AI75" s="140"/>
      <c r="AJ75" s="14"/>
      <c r="AK75" s="32"/>
      <c r="AL75" s="115"/>
      <c r="AM75" s="115"/>
      <c r="AN75" s="293"/>
      <c r="AO75" s="32"/>
      <c r="AY75" s="43"/>
      <c r="AZ75" s="42"/>
      <c r="BA75" s="43"/>
    </row>
    <row r="76" spans="1:53" ht="15" customHeight="1">
      <c r="A76" s="524"/>
      <c r="B76" s="524"/>
      <c r="C76" s="524"/>
      <c r="D76" s="524"/>
      <c r="E76" s="136"/>
      <c r="F76" s="527"/>
      <c r="G76" s="127"/>
      <c r="H76" s="293"/>
      <c r="I76" s="695"/>
      <c r="J76" s="293"/>
      <c r="K76" s="760"/>
      <c r="L76" s="847"/>
      <c r="M76" s="136"/>
      <c r="N76" s="678"/>
      <c r="O76" s="127"/>
      <c r="P76" s="681"/>
      <c r="Q76" s="695"/>
      <c r="R76" s="681"/>
      <c r="S76" s="760"/>
      <c r="T76" s="847"/>
      <c r="U76" s="136"/>
      <c r="V76" s="121"/>
      <c r="W76" s="127"/>
      <c r="X76" s="293"/>
      <c r="Y76" s="695"/>
      <c r="Z76" s="293"/>
      <c r="AA76" s="760"/>
      <c r="AB76" s="115"/>
      <c r="AC76" s="135"/>
      <c r="AD76" s="115"/>
      <c r="AE76" s="135"/>
      <c r="AF76" s="121"/>
      <c r="AG76" s="121"/>
      <c r="AH76" s="135"/>
      <c r="AI76" s="140"/>
      <c r="AJ76" s="14"/>
      <c r="AK76" s="32"/>
      <c r="AL76" s="115"/>
      <c r="AM76" s="115"/>
      <c r="AN76" s="293"/>
      <c r="AO76" s="32"/>
      <c r="AY76" s="43"/>
      <c r="AZ76" s="42"/>
      <c r="BA76" s="43"/>
    </row>
    <row r="77" spans="1:53" ht="15" customHeight="1">
      <c r="A77" s="524"/>
      <c r="B77" s="524"/>
      <c r="C77" s="524" t="s">
        <v>168</v>
      </c>
      <c r="D77" s="524"/>
      <c r="E77" s="136">
        <f>+U77-M77</f>
        <v>248.70999999999998</v>
      </c>
      <c r="F77" s="527"/>
      <c r="G77" s="127">
        <f>+W77-O77</f>
        <v>0</v>
      </c>
      <c r="H77" s="307"/>
      <c r="I77" s="695" t="e">
        <f>+Y77-Q77</f>
        <v>#REF!</v>
      </c>
      <c r="J77" s="293"/>
      <c r="K77" s="760" t="e">
        <f>+AE77-S77</f>
        <v>#REF!</v>
      </c>
      <c r="L77" s="847"/>
      <c r="M77" s="136">
        <f>433.07-0.01</f>
        <v>433.06</v>
      </c>
      <c r="N77" s="678"/>
      <c r="O77" s="127">
        <v>0</v>
      </c>
      <c r="P77" s="681"/>
      <c r="Q77" s="695">
        <f>4.77+0.01</f>
        <v>4.779999999999999</v>
      </c>
      <c r="R77" s="681"/>
      <c r="S77" s="760">
        <f>+M77+O77+Q77</f>
        <v>437.84</v>
      </c>
      <c r="T77" s="847"/>
      <c r="U77" s="136">
        <f>681.77</f>
        <v>681.77</v>
      </c>
      <c r="V77" s="121"/>
      <c r="W77" s="127">
        <v>0</v>
      </c>
      <c r="X77" s="293"/>
      <c r="Y77" s="695" t="e">
        <f>+#REF!</f>
        <v>#REF!</v>
      </c>
      <c r="Z77" s="293"/>
      <c r="AA77" s="760" t="e">
        <f>+U77+W77+Y77</f>
        <v>#REF!</v>
      </c>
      <c r="AB77" s="115"/>
      <c r="AC77" s="135">
        <v>-12.18</v>
      </c>
      <c r="AD77" s="115"/>
      <c r="AE77" s="135" t="e">
        <f>+AA77-AC77</f>
        <v>#REF!</v>
      </c>
      <c r="AF77" s="121"/>
      <c r="AG77" s="121"/>
      <c r="AH77" s="135">
        <v>-96.62</v>
      </c>
      <c r="AI77" s="140"/>
      <c r="AJ77" s="14"/>
      <c r="AK77" s="32"/>
      <c r="AL77" s="115"/>
      <c r="AM77" s="115"/>
      <c r="AN77" s="293"/>
      <c r="AO77" s="32"/>
      <c r="AY77" s="43">
        <v>-5.35</v>
      </c>
      <c r="AZ77" s="42"/>
      <c r="BA77" s="43"/>
    </row>
    <row r="78" spans="1:53" ht="15" customHeight="1">
      <c r="A78" s="524"/>
      <c r="B78" s="524"/>
      <c r="C78" s="524" t="s">
        <v>33</v>
      </c>
      <c r="D78" s="524"/>
      <c r="E78" s="136" t="e">
        <f>+U78-M78</f>
        <v>#REF!</v>
      </c>
      <c r="F78" s="527"/>
      <c r="G78" s="127">
        <f>+W78-O78</f>
        <v>0</v>
      </c>
      <c r="H78" s="307"/>
      <c r="I78" s="695">
        <f>+Y78-Q78</f>
        <v>0</v>
      </c>
      <c r="J78" s="293"/>
      <c r="K78" s="760" t="e">
        <f>+AE78-S78</f>
        <v>#REF!</v>
      </c>
      <c r="L78" s="847"/>
      <c r="M78" s="136">
        <v>156.3</v>
      </c>
      <c r="N78" s="678"/>
      <c r="O78" s="127">
        <v>0</v>
      </c>
      <c r="P78" s="681"/>
      <c r="Q78" s="695">
        <v>0</v>
      </c>
      <c r="R78" s="681"/>
      <c r="S78" s="760">
        <f>+M78+O78+Q78</f>
        <v>156.3</v>
      </c>
      <c r="T78" s="847"/>
      <c r="U78" s="136" t="e">
        <f>+#REF!</f>
        <v>#REF!</v>
      </c>
      <c r="V78" s="121"/>
      <c r="W78" s="127">
        <v>0</v>
      </c>
      <c r="X78" s="293"/>
      <c r="Y78" s="695">
        <v>0</v>
      </c>
      <c r="Z78" s="293"/>
      <c r="AA78" s="760" t="e">
        <f>+U78+W78+Y78</f>
        <v>#REF!</v>
      </c>
      <c r="AB78" s="115"/>
      <c r="AC78" s="135">
        <v>0</v>
      </c>
      <c r="AD78" s="115"/>
      <c r="AE78" s="135" t="e">
        <f>+U78-AC78</f>
        <v>#REF!</v>
      </c>
      <c r="AF78" s="121"/>
      <c r="AG78" s="121"/>
      <c r="AH78" s="135">
        <v>170.56</v>
      </c>
      <c r="AI78" s="140"/>
      <c r="AJ78" s="14"/>
      <c r="AK78" s="32"/>
      <c r="AL78" s="115"/>
      <c r="AM78" s="115"/>
      <c r="AN78" s="293"/>
      <c r="AO78" s="32"/>
      <c r="AY78" s="43">
        <v>-0.86</v>
      </c>
      <c r="AZ78" s="42"/>
      <c r="BA78" s="43"/>
    </row>
    <row r="79" spans="1:53" ht="15" customHeight="1">
      <c r="A79" s="524"/>
      <c r="B79" s="524"/>
      <c r="C79" s="524" t="s">
        <v>167</v>
      </c>
      <c r="D79" s="524"/>
      <c r="E79" s="136">
        <f>+U79-M79</f>
        <v>0</v>
      </c>
      <c r="F79" s="527"/>
      <c r="G79" s="127" t="e">
        <f>+W79-O79</f>
        <v>#REF!</v>
      </c>
      <c r="H79" s="307"/>
      <c r="I79" s="695">
        <f>+Y79-Q79</f>
        <v>0</v>
      </c>
      <c r="J79" s="293"/>
      <c r="K79" s="760" t="e">
        <f>+AE79-S79</f>
        <v>#REF!</v>
      </c>
      <c r="L79" s="847"/>
      <c r="M79" s="136">
        <v>0</v>
      </c>
      <c r="N79" s="678"/>
      <c r="O79" s="127">
        <v>217.73</v>
      </c>
      <c r="P79" s="681"/>
      <c r="Q79" s="695">
        <v>0</v>
      </c>
      <c r="R79" s="681"/>
      <c r="S79" s="760">
        <f>+M79+O79+Q79</f>
        <v>217.73</v>
      </c>
      <c r="T79" s="847"/>
      <c r="U79" s="136">
        <v>0</v>
      </c>
      <c r="V79" s="121"/>
      <c r="W79" s="127" t="e">
        <f>+#REF!</f>
        <v>#REF!</v>
      </c>
      <c r="X79" s="293"/>
      <c r="Y79" s="695">
        <v>0</v>
      </c>
      <c r="Z79" s="293"/>
      <c r="AA79" s="760" t="e">
        <f>+U79+W79+Y79</f>
        <v>#REF!</v>
      </c>
      <c r="AB79" s="115"/>
      <c r="AC79" s="135">
        <v>0</v>
      </c>
      <c r="AD79" s="115"/>
      <c r="AE79" s="135" t="e">
        <f>+AA79-AC79</f>
        <v>#REF!</v>
      </c>
      <c r="AF79" s="121"/>
      <c r="AG79" s="121"/>
      <c r="AH79" s="135">
        <v>56.96</v>
      </c>
      <c r="AI79" s="140"/>
      <c r="AJ79" s="14"/>
      <c r="AK79" s="32"/>
      <c r="AL79" s="115"/>
      <c r="AM79" s="115"/>
      <c r="AN79" s="293"/>
      <c r="AO79" s="32"/>
      <c r="AY79" s="43"/>
      <c r="AZ79" s="42"/>
      <c r="BA79" s="43"/>
    </row>
    <row r="80" spans="1:53" ht="15.75">
      <c r="A80" s="524"/>
      <c r="B80" s="524"/>
      <c r="C80" s="524" t="s">
        <v>166</v>
      </c>
      <c r="D80" s="524"/>
      <c r="E80" s="136">
        <f>+U80-M80</f>
        <v>47.879999999999995</v>
      </c>
      <c r="F80" s="527"/>
      <c r="G80" s="127">
        <f>+W80-O80</f>
        <v>0</v>
      </c>
      <c r="H80" s="307"/>
      <c r="I80" s="695">
        <f>+Y80-Q80</f>
        <v>0</v>
      </c>
      <c r="J80" s="293"/>
      <c r="K80" s="760">
        <f>+AE80-S80</f>
        <v>53.83</v>
      </c>
      <c r="L80" s="847"/>
      <c r="M80" s="136">
        <v>46.67</v>
      </c>
      <c r="N80" s="678"/>
      <c r="O80" s="127">
        <v>0</v>
      </c>
      <c r="P80" s="681"/>
      <c r="Q80" s="695">
        <v>0</v>
      </c>
      <c r="R80" s="681"/>
      <c r="S80" s="760">
        <f>+M80+O80+Q80</f>
        <v>46.67</v>
      </c>
      <c r="T80" s="847"/>
      <c r="U80" s="136">
        <f>94.55</f>
        <v>94.55</v>
      </c>
      <c r="V80" s="121"/>
      <c r="W80" s="127">
        <v>0</v>
      </c>
      <c r="X80" s="293"/>
      <c r="Y80" s="695">
        <v>0</v>
      </c>
      <c r="Z80" s="293"/>
      <c r="AA80" s="760">
        <f>+U80+W80+Y80</f>
        <v>94.55</v>
      </c>
      <c r="AB80" s="115"/>
      <c r="AC80" s="135">
        <v>-5.95</v>
      </c>
      <c r="AD80" s="115"/>
      <c r="AE80" s="135">
        <f>+U80-AC80</f>
        <v>100.5</v>
      </c>
      <c r="AF80" s="121"/>
      <c r="AG80" s="121"/>
      <c r="AH80" s="135">
        <v>41.19</v>
      </c>
      <c r="AI80" s="140"/>
      <c r="AJ80" s="14"/>
      <c r="AK80" s="32"/>
      <c r="AL80" s="115"/>
      <c r="AM80" s="115"/>
      <c r="AN80" s="293"/>
      <c r="AO80" s="32"/>
      <c r="AY80" s="43"/>
      <c r="AZ80" s="42"/>
      <c r="BA80" s="43"/>
    </row>
    <row r="81" spans="1:53" ht="15.75">
      <c r="A81" s="524"/>
      <c r="B81" s="524"/>
      <c r="C81" s="524" t="s">
        <v>198</v>
      </c>
      <c r="D81" s="524"/>
      <c r="E81" s="429">
        <f>+U81-M81</f>
        <v>62.01</v>
      </c>
      <c r="F81" s="527"/>
      <c r="G81" s="729">
        <f>+W81-O81</f>
        <v>0</v>
      </c>
      <c r="H81" s="307"/>
      <c r="I81" s="696">
        <f>+Y81-Q81</f>
        <v>0</v>
      </c>
      <c r="J81" s="293"/>
      <c r="K81" s="760">
        <f>+AE81-S81</f>
        <v>65.03999999999999</v>
      </c>
      <c r="L81" s="847"/>
      <c r="M81" s="429">
        <v>-51.07</v>
      </c>
      <c r="N81" s="678"/>
      <c r="O81" s="729">
        <v>0</v>
      </c>
      <c r="P81" s="681"/>
      <c r="Q81" s="696">
        <v>0</v>
      </c>
      <c r="R81" s="681"/>
      <c r="S81" s="865">
        <f>+M81+O81+Q81</f>
        <v>-51.07</v>
      </c>
      <c r="T81" s="847"/>
      <c r="U81" s="429">
        <f>10.94</f>
        <v>10.94</v>
      </c>
      <c r="V81" s="121"/>
      <c r="W81" s="729">
        <v>0</v>
      </c>
      <c r="X81" s="293"/>
      <c r="Y81" s="696">
        <v>0</v>
      </c>
      <c r="Z81" s="293"/>
      <c r="AA81" s="865">
        <f>+U81+W81+Y81</f>
        <v>10.94</v>
      </c>
      <c r="AB81" s="115"/>
      <c r="AC81" s="423">
        <v>-3.03</v>
      </c>
      <c r="AD81" s="115"/>
      <c r="AE81" s="423">
        <f>+U81-AC81</f>
        <v>13.969999999999999</v>
      </c>
      <c r="AF81" s="121"/>
      <c r="AG81" s="121"/>
      <c r="AH81" s="423">
        <v>74.93</v>
      </c>
      <c r="AI81" s="140"/>
      <c r="AJ81" s="14"/>
      <c r="AK81" s="32"/>
      <c r="AL81" s="115"/>
      <c r="AM81" s="115"/>
      <c r="AN81" s="293"/>
      <c r="AO81" s="32"/>
      <c r="AY81" s="43"/>
      <c r="AZ81" s="42"/>
      <c r="BA81" s="43"/>
    </row>
    <row r="82" spans="1:53" ht="15" customHeight="1">
      <c r="A82" s="524"/>
      <c r="B82" s="524"/>
      <c r="C82" s="532" t="s">
        <v>41</v>
      </c>
      <c r="D82" s="532"/>
      <c r="E82" s="134" t="e">
        <f>SUM(E77:E81)</f>
        <v>#REF!</v>
      </c>
      <c r="F82" s="533"/>
      <c r="G82" s="508" t="e">
        <f>SUM(G77:G81)</f>
        <v>#REF!</v>
      </c>
      <c r="H82" s="306"/>
      <c r="I82" s="690" t="e">
        <f>SUM(I77:I81)</f>
        <v>#REF!</v>
      </c>
      <c r="J82" s="306"/>
      <c r="K82" s="760" t="e">
        <f>SUM(K77:K81)</f>
        <v>#REF!</v>
      </c>
      <c r="L82" s="846"/>
      <c r="M82" s="134">
        <f>SUM(M77:M81)</f>
        <v>584.9599999999999</v>
      </c>
      <c r="N82" s="691"/>
      <c r="O82" s="730">
        <f>SUM(O77:O81)</f>
        <v>217.73</v>
      </c>
      <c r="P82" s="692"/>
      <c r="Q82" s="697">
        <f>SUM(Q77:Q81)</f>
        <v>4.779999999999999</v>
      </c>
      <c r="R82" s="692"/>
      <c r="S82" s="803">
        <f>SUM(S77:S81)</f>
        <v>807.4699999999999</v>
      </c>
      <c r="T82" s="846"/>
      <c r="U82" s="134" t="e">
        <f>SUM(U77:U81)</f>
        <v>#REF!</v>
      </c>
      <c r="V82" s="118"/>
      <c r="W82" s="730" t="e">
        <f>SUM(W77:W81)</f>
        <v>#REF!</v>
      </c>
      <c r="X82" s="306"/>
      <c r="Y82" s="697" t="e">
        <f>SUM(Y77:Y81)</f>
        <v>#REF!</v>
      </c>
      <c r="Z82" s="306"/>
      <c r="AA82" s="760" t="e">
        <f>SUM(AA77:AA81)</f>
        <v>#REF!</v>
      </c>
      <c r="AB82" s="128"/>
      <c r="AC82" s="133">
        <f>SUM(AC77:AC81)</f>
        <v>-21.16</v>
      </c>
      <c r="AD82" s="128"/>
      <c r="AE82" s="133" t="e">
        <f>SUM(AE77:AE81)</f>
        <v>#REF!</v>
      </c>
      <c r="AF82" s="302"/>
      <c r="AG82" s="302"/>
      <c r="AH82" s="133">
        <f>SUM(AH77:AH81)</f>
        <v>247.02</v>
      </c>
      <c r="AI82" s="140"/>
      <c r="AJ82" s="14"/>
      <c r="AK82" s="32"/>
      <c r="AL82" s="128"/>
      <c r="AM82" s="115"/>
      <c r="AN82" s="306"/>
      <c r="AO82" s="32"/>
      <c r="AY82" s="44">
        <f>SUM(AY77:AY81)</f>
        <v>-6.21</v>
      </c>
      <c r="AZ82" s="42"/>
      <c r="BA82" s="43"/>
    </row>
    <row r="83" spans="1:53" ht="15" customHeight="1">
      <c r="A83" s="524"/>
      <c r="B83" s="524"/>
      <c r="C83" s="525"/>
      <c r="D83" s="525"/>
      <c r="E83" s="136"/>
      <c r="F83" s="526"/>
      <c r="G83" s="127"/>
      <c r="H83" s="293"/>
      <c r="I83" s="695"/>
      <c r="J83" s="293"/>
      <c r="K83" s="760"/>
      <c r="L83" s="847"/>
      <c r="M83" s="136"/>
      <c r="N83" s="676"/>
      <c r="O83" s="127"/>
      <c r="P83" s="681"/>
      <c r="Q83" s="695"/>
      <c r="R83" s="681"/>
      <c r="S83" s="760"/>
      <c r="T83" s="847"/>
      <c r="U83" s="136"/>
      <c r="V83" s="121"/>
      <c r="W83" s="127"/>
      <c r="X83" s="293"/>
      <c r="Y83" s="695"/>
      <c r="Z83" s="293"/>
      <c r="AA83" s="760"/>
      <c r="AB83" s="115"/>
      <c r="AC83" s="135"/>
      <c r="AD83" s="115"/>
      <c r="AE83" s="135"/>
      <c r="AF83" s="302"/>
      <c r="AG83" s="302"/>
      <c r="AH83" s="135"/>
      <c r="AI83" s="140"/>
      <c r="AJ83" s="14"/>
      <c r="AK83" s="32"/>
      <c r="AL83" s="115"/>
      <c r="AM83" s="115"/>
      <c r="AN83" s="307"/>
      <c r="AO83" s="32"/>
      <c r="AY83" s="43"/>
      <c r="AZ83" s="42"/>
      <c r="BA83" s="43"/>
    </row>
    <row r="84" spans="1:53" ht="15" customHeight="1">
      <c r="A84" s="524"/>
      <c r="B84" s="524"/>
      <c r="C84" s="532" t="s">
        <v>263</v>
      </c>
      <c r="D84" s="532"/>
      <c r="E84" s="136" t="e">
        <f>+U84-M84</f>
        <v>#REF!</v>
      </c>
      <c r="F84" s="533"/>
      <c r="G84" s="127" t="e">
        <f>+W84-O84</f>
        <v>#REF!</v>
      </c>
      <c r="H84" s="307"/>
      <c r="I84" s="695" t="e">
        <f>+Y84-Q84</f>
        <v>#REF!</v>
      </c>
      <c r="J84" s="293"/>
      <c r="K84" s="760" t="e">
        <f>+AE84-S84</f>
        <v>#REF!</v>
      </c>
      <c r="L84" s="847"/>
      <c r="M84" s="136">
        <v>303.61</v>
      </c>
      <c r="N84" s="691"/>
      <c r="O84" s="127">
        <v>73.84</v>
      </c>
      <c r="P84" s="681"/>
      <c r="Q84" s="695">
        <v>3.18</v>
      </c>
      <c r="R84" s="681"/>
      <c r="S84" s="760">
        <f>+M84+O84+Q84</f>
        <v>380.63000000000005</v>
      </c>
      <c r="T84" s="847"/>
      <c r="U84" s="136" t="e">
        <f>+#REF!-Y84-W84</f>
        <v>#REF!</v>
      </c>
      <c r="V84" s="121"/>
      <c r="W84" s="127" t="e">
        <f>+#REF!</f>
        <v>#REF!</v>
      </c>
      <c r="X84" s="293"/>
      <c r="Y84" s="695" t="e">
        <f>+#REF!</f>
        <v>#REF!</v>
      </c>
      <c r="Z84" s="293"/>
      <c r="AA84" s="760" t="e">
        <f>+U84+W84+Y84</f>
        <v>#REF!</v>
      </c>
      <c r="AB84" s="115"/>
      <c r="AC84" s="135">
        <v>0</v>
      </c>
      <c r="AD84" s="115"/>
      <c r="AE84" s="135" t="e">
        <f>+AA84-AC84</f>
        <v>#REF!</v>
      </c>
      <c r="AF84" s="302"/>
      <c r="AG84" s="302"/>
      <c r="AH84" s="135">
        <v>232.88</v>
      </c>
      <c r="AI84" s="140"/>
      <c r="AJ84" s="14"/>
      <c r="AK84" s="32"/>
      <c r="AL84" s="115"/>
      <c r="AM84" s="115"/>
      <c r="AN84" s="307"/>
      <c r="AO84" s="32"/>
      <c r="AY84" s="43">
        <v>5.37</v>
      </c>
      <c r="AZ84" s="42"/>
      <c r="BA84" s="43"/>
    </row>
    <row r="85" spans="1:53" ht="15" customHeight="1">
      <c r="A85" s="524"/>
      <c r="B85" s="524"/>
      <c r="C85" s="532" t="s">
        <v>264</v>
      </c>
      <c r="D85" s="524"/>
      <c r="E85" s="136" t="e">
        <f>+U85-M85</f>
        <v>#REF!</v>
      </c>
      <c r="F85" s="527"/>
      <c r="G85" s="729">
        <f>+W85-O85</f>
        <v>0</v>
      </c>
      <c r="H85" s="307"/>
      <c r="I85" s="696">
        <f>+Y85-Q85</f>
        <v>0</v>
      </c>
      <c r="J85" s="293"/>
      <c r="K85" s="760" t="e">
        <f>+AE85-S85</f>
        <v>#REF!</v>
      </c>
      <c r="L85" s="847"/>
      <c r="M85" s="429">
        <v>216.2</v>
      </c>
      <c r="N85" s="678"/>
      <c r="O85" s="729">
        <v>0</v>
      </c>
      <c r="P85" s="681"/>
      <c r="Q85" s="696">
        <v>0</v>
      </c>
      <c r="R85" s="681"/>
      <c r="S85" s="865">
        <f>+M85+O85+Q85</f>
        <v>216.2</v>
      </c>
      <c r="T85" s="847"/>
      <c r="U85" s="429" t="e">
        <f>#REF!</f>
        <v>#REF!</v>
      </c>
      <c r="V85" s="121"/>
      <c r="W85" s="729">
        <v>0</v>
      </c>
      <c r="X85" s="293"/>
      <c r="Y85" s="696">
        <v>0</v>
      </c>
      <c r="Z85" s="293"/>
      <c r="AA85" s="760" t="e">
        <f>+U85+W85+Y85</f>
        <v>#REF!</v>
      </c>
      <c r="AB85" s="115"/>
      <c r="AC85" s="135">
        <v>0</v>
      </c>
      <c r="AD85" s="115"/>
      <c r="AE85" s="135" t="e">
        <f>+AA85-AC85</f>
        <v>#REF!</v>
      </c>
      <c r="AF85" s="302"/>
      <c r="AG85" s="302"/>
      <c r="AH85" s="423">
        <v>-49.86</v>
      </c>
      <c r="AI85" s="140"/>
      <c r="AJ85" s="14"/>
      <c r="AK85" s="32"/>
      <c r="AL85" s="115"/>
      <c r="AM85" s="115"/>
      <c r="AN85" s="307"/>
      <c r="AO85" s="32"/>
      <c r="AY85" s="43"/>
      <c r="AZ85" s="42"/>
      <c r="BA85" s="43"/>
    </row>
    <row r="86" spans="1:53" ht="15" customHeight="1" thickBot="1">
      <c r="A86" s="524"/>
      <c r="B86" s="524"/>
      <c r="C86" s="525" t="s">
        <v>208</v>
      </c>
      <c r="D86" s="525"/>
      <c r="E86" s="430" t="e">
        <f>+E82-E84+E85</f>
        <v>#REF!</v>
      </c>
      <c r="F86" s="526"/>
      <c r="G86" s="731" t="e">
        <f>+G82-G84+G85</f>
        <v>#REF!</v>
      </c>
      <c r="H86" s="306"/>
      <c r="I86" s="698" t="e">
        <f>+I82-I84+I85</f>
        <v>#REF!</v>
      </c>
      <c r="J86" s="306"/>
      <c r="K86" s="771" t="e">
        <f>+K82-K84+K85</f>
        <v>#REF!</v>
      </c>
      <c r="L86" s="846"/>
      <c r="M86" s="430">
        <f>+M82-M84+M85</f>
        <v>497.5499999999999</v>
      </c>
      <c r="N86" s="676"/>
      <c r="O86" s="731">
        <f>+O82-O84+O85</f>
        <v>143.89</v>
      </c>
      <c r="P86" s="692"/>
      <c r="Q86" s="698">
        <f>+Q82-Q84+Q85</f>
        <v>1.5999999999999992</v>
      </c>
      <c r="R86" s="692"/>
      <c r="S86" s="771">
        <f>+S82-S84+S85</f>
        <v>643.0399999999998</v>
      </c>
      <c r="T86" s="846"/>
      <c r="U86" s="430" t="e">
        <f>+U82-U84+U85</f>
        <v>#REF!</v>
      </c>
      <c r="V86" s="118"/>
      <c r="W86" s="731" t="e">
        <f>+W82-W84+W85</f>
        <v>#REF!</v>
      </c>
      <c r="X86" s="306"/>
      <c r="Y86" s="698" t="e">
        <f>+Y82-Y84+Y85</f>
        <v>#REF!</v>
      </c>
      <c r="Z86" s="306"/>
      <c r="AA86" s="771" t="e">
        <f>+AA82-AA84+AA85</f>
        <v>#REF!</v>
      </c>
      <c r="AB86" s="128"/>
      <c r="AC86" s="424">
        <f>+AC82-AC84-AC85</f>
        <v>-21.16</v>
      </c>
      <c r="AD86" s="128"/>
      <c r="AE86" s="424" t="e">
        <f>+AE82-AE84+AE85</f>
        <v>#REF!</v>
      </c>
      <c r="AF86" s="302"/>
      <c r="AG86" s="302"/>
      <c r="AH86" s="424">
        <f>+AH82-AH84+AH85</f>
        <v>-35.719999999999985</v>
      </c>
      <c r="AI86" s="140"/>
      <c r="AJ86" s="14"/>
      <c r="AK86" s="32"/>
      <c r="AL86" s="128"/>
      <c r="AM86" s="115"/>
      <c r="AN86" s="306"/>
      <c r="AO86" s="32"/>
      <c r="AY86" s="45">
        <f>+AY82-AY84</f>
        <v>-11.58</v>
      </c>
      <c r="AZ86" s="42"/>
      <c r="BA86" s="43"/>
    </row>
    <row r="87" spans="1:53" ht="9" customHeight="1" thickTop="1">
      <c r="A87" s="524"/>
      <c r="B87" s="524"/>
      <c r="C87" s="524"/>
      <c r="D87" s="524"/>
      <c r="E87" s="755"/>
      <c r="F87" s="527"/>
      <c r="G87" s="732"/>
      <c r="H87" s="293"/>
      <c r="I87" s="699"/>
      <c r="J87" s="293"/>
      <c r="K87" s="764"/>
      <c r="L87" s="847"/>
      <c r="M87" s="136"/>
      <c r="N87" s="678"/>
      <c r="O87" s="732"/>
      <c r="P87" s="681"/>
      <c r="Q87" s="699"/>
      <c r="R87" s="681"/>
      <c r="S87" s="764"/>
      <c r="T87" s="847"/>
      <c r="U87" s="136"/>
      <c r="V87" s="121"/>
      <c r="W87" s="732"/>
      <c r="X87" s="293"/>
      <c r="Y87" s="699"/>
      <c r="Z87" s="293"/>
      <c r="AA87" s="764"/>
      <c r="AB87" s="115"/>
      <c r="AC87" s="135"/>
      <c r="AD87" s="115"/>
      <c r="AE87" s="135"/>
      <c r="AF87" s="302"/>
      <c r="AG87" s="302"/>
      <c r="AH87" s="135"/>
      <c r="AI87" s="140"/>
      <c r="AJ87" s="14"/>
      <c r="AK87" s="32"/>
      <c r="AL87" s="115"/>
      <c r="AM87" s="115"/>
      <c r="AN87" s="307"/>
      <c r="AO87" s="32"/>
      <c r="AY87" s="43"/>
      <c r="AZ87" s="42"/>
      <c r="BA87" s="43"/>
    </row>
    <row r="88" spans="1:53" ht="15" customHeight="1">
      <c r="A88" s="524">
        <v>3</v>
      </c>
      <c r="B88" s="524"/>
      <c r="C88" s="532" t="s">
        <v>36</v>
      </c>
      <c r="D88" s="532"/>
      <c r="E88" s="136"/>
      <c r="F88" s="533"/>
      <c r="G88" s="127"/>
      <c r="H88" s="293"/>
      <c r="I88" s="695"/>
      <c r="J88" s="293"/>
      <c r="K88" s="760"/>
      <c r="L88" s="847"/>
      <c r="M88" s="136"/>
      <c r="N88" s="691"/>
      <c r="O88" s="127"/>
      <c r="P88" s="681"/>
      <c r="Q88" s="695"/>
      <c r="R88" s="681"/>
      <c r="S88" s="760"/>
      <c r="T88" s="847"/>
      <c r="U88" s="136"/>
      <c r="V88" s="121"/>
      <c r="W88" s="127"/>
      <c r="X88" s="293"/>
      <c r="Y88" s="695"/>
      <c r="Z88" s="293"/>
      <c r="AA88" s="760"/>
      <c r="AB88" s="115"/>
      <c r="AC88" s="135"/>
      <c r="AD88" s="115"/>
      <c r="AE88" s="135"/>
      <c r="AF88" s="302"/>
      <c r="AG88" s="302"/>
      <c r="AH88" s="135"/>
      <c r="AI88" s="140"/>
      <c r="AJ88" s="14"/>
      <c r="AK88" s="32"/>
      <c r="AL88" s="115"/>
      <c r="AM88" s="115"/>
      <c r="AN88" s="307"/>
      <c r="AO88" s="32"/>
      <c r="AY88" s="43"/>
      <c r="AZ88" s="42"/>
      <c r="BA88" s="43"/>
    </row>
    <row r="89" spans="1:41" ht="15" customHeight="1">
      <c r="A89" s="524"/>
      <c r="B89" s="524"/>
      <c r="C89" s="525" t="s">
        <v>37</v>
      </c>
      <c r="D89" s="525"/>
      <c r="E89" s="136"/>
      <c r="F89" s="526"/>
      <c r="G89" s="127"/>
      <c r="H89" s="293"/>
      <c r="I89" s="695"/>
      <c r="J89" s="293"/>
      <c r="K89" s="760"/>
      <c r="L89" s="847"/>
      <c r="M89" s="136"/>
      <c r="N89" s="676"/>
      <c r="O89" s="127"/>
      <c r="P89" s="681"/>
      <c r="Q89" s="695"/>
      <c r="R89" s="681"/>
      <c r="S89" s="760"/>
      <c r="T89" s="847"/>
      <c r="U89" s="136"/>
      <c r="V89" s="121"/>
      <c r="W89" s="127"/>
      <c r="X89" s="293"/>
      <c r="Y89" s="695"/>
      <c r="Z89" s="293"/>
      <c r="AA89" s="760"/>
      <c r="AB89" s="115"/>
      <c r="AC89" s="135"/>
      <c r="AD89" s="115"/>
      <c r="AE89" s="135"/>
      <c r="AF89" s="302"/>
      <c r="AG89" s="302"/>
      <c r="AH89" s="135"/>
      <c r="AI89" s="140"/>
      <c r="AJ89" s="14"/>
      <c r="AK89" s="32"/>
      <c r="AL89" s="115"/>
      <c r="AM89" s="115"/>
      <c r="AN89" s="307"/>
      <c r="AO89" s="32"/>
    </row>
    <row r="90" spans="1:41" ht="15" customHeight="1">
      <c r="A90" s="524"/>
      <c r="B90" s="524"/>
      <c r="C90" s="524" t="s">
        <v>168</v>
      </c>
      <c r="D90" s="524"/>
      <c r="E90" s="136" t="e">
        <f>+AE90-Y90</f>
        <v>#REF!</v>
      </c>
      <c r="F90" s="527"/>
      <c r="G90" s="127">
        <f>+W90</f>
        <v>0</v>
      </c>
      <c r="H90" s="307"/>
      <c r="I90" s="695" t="e">
        <f>+Y90</f>
        <v>#REF!</v>
      </c>
      <c r="J90" s="293"/>
      <c r="K90" s="760" t="e">
        <f aca="true" t="shared" si="8" ref="K90:K95">+AE90</f>
        <v>#REF!</v>
      </c>
      <c r="L90" s="847"/>
      <c r="M90" s="136">
        <v>13959.82</v>
      </c>
      <c r="N90" s="678"/>
      <c r="O90" s="127">
        <v>0</v>
      </c>
      <c r="P90" s="681"/>
      <c r="Q90" s="695">
        <v>1960.41</v>
      </c>
      <c r="R90" s="681"/>
      <c r="S90" s="760">
        <f>+M90+O90+Q90</f>
        <v>15920.23</v>
      </c>
      <c r="T90" s="847"/>
      <c r="U90" s="136">
        <f>16996.76</f>
        <v>16996.76</v>
      </c>
      <c r="V90" s="121"/>
      <c r="W90" s="127">
        <v>0</v>
      </c>
      <c r="X90" s="293"/>
      <c r="Y90" s="695" t="e">
        <f>+#REF!</f>
        <v>#REF!</v>
      </c>
      <c r="Z90" s="293"/>
      <c r="AA90" s="760" t="e">
        <f>+U90+W90+Y90</f>
        <v>#REF!</v>
      </c>
      <c r="AB90" s="115"/>
      <c r="AC90" s="135">
        <v>-12.17</v>
      </c>
      <c r="AD90" s="115"/>
      <c r="AE90" s="135" t="e">
        <f>+AA90-AC90</f>
        <v>#REF!</v>
      </c>
      <c r="AF90" s="302"/>
      <c r="AG90" s="302"/>
      <c r="AH90" s="135">
        <v>22730.67</v>
      </c>
      <c r="AI90" s="140"/>
      <c r="AJ90" s="14"/>
      <c r="AK90" s="32"/>
      <c r="AL90" s="115"/>
      <c r="AM90" s="115"/>
      <c r="AN90" s="307"/>
      <c r="AO90" s="32"/>
    </row>
    <row r="91" spans="1:41" ht="15" customHeight="1">
      <c r="A91" s="524"/>
      <c r="B91" s="524"/>
      <c r="C91" s="524" t="s">
        <v>33</v>
      </c>
      <c r="D91" s="524"/>
      <c r="E91" s="136" t="e">
        <f>+AE91</f>
        <v>#REF!</v>
      </c>
      <c r="F91" s="527"/>
      <c r="G91" s="127">
        <f>+W91</f>
        <v>0</v>
      </c>
      <c r="H91" s="307"/>
      <c r="I91" s="695">
        <f>+Y91</f>
        <v>0</v>
      </c>
      <c r="J91" s="293"/>
      <c r="K91" s="760" t="e">
        <f t="shared" si="8"/>
        <v>#REF!</v>
      </c>
      <c r="L91" s="847"/>
      <c r="M91" s="136">
        <v>3929.78</v>
      </c>
      <c r="N91" s="678"/>
      <c r="O91" s="127">
        <v>0</v>
      </c>
      <c r="P91" s="681"/>
      <c r="Q91" s="695">
        <v>0</v>
      </c>
      <c r="R91" s="681"/>
      <c r="S91" s="760">
        <f>+M91+O91+Q91</f>
        <v>3929.78</v>
      </c>
      <c r="T91" s="847"/>
      <c r="U91" s="136" t="e">
        <f>+#REF!</f>
        <v>#REF!</v>
      </c>
      <c r="V91" s="121"/>
      <c r="W91" s="127">
        <v>0</v>
      </c>
      <c r="X91" s="293"/>
      <c r="Y91" s="695">
        <v>0</v>
      </c>
      <c r="Z91" s="293"/>
      <c r="AA91" s="760" t="e">
        <f>+U91+W91+Y91</f>
        <v>#REF!</v>
      </c>
      <c r="AB91" s="115"/>
      <c r="AC91" s="135">
        <v>0</v>
      </c>
      <c r="AD91" s="115"/>
      <c r="AE91" s="135" t="e">
        <f>+AA91-AC91</f>
        <v>#REF!</v>
      </c>
      <c r="AF91" s="302"/>
      <c r="AG91" s="302"/>
      <c r="AH91" s="135">
        <v>4294.61</v>
      </c>
      <c r="AI91" s="140"/>
      <c r="AJ91" s="14"/>
      <c r="AK91" s="32"/>
      <c r="AL91" s="115"/>
      <c r="AM91" s="115"/>
      <c r="AN91" s="307"/>
      <c r="AO91" s="32"/>
    </row>
    <row r="92" spans="1:41" ht="15" customHeight="1">
      <c r="A92" s="524"/>
      <c r="B92" s="524"/>
      <c r="C92" s="524" t="s">
        <v>167</v>
      </c>
      <c r="D92" s="524"/>
      <c r="E92" s="136" t="e">
        <f>+AE92</f>
        <v>#REF!</v>
      </c>
      <c r="F92" s="527"/>
      <c r="G92" s="127" t="e">
        <f>+W92</f>
        <v>#REF!</v>
      </c>
      <c r="H92" s="307"/>
      <c r="I92" s="695">
        <f>+Y92</f>
        <v>0</v>
      </c>
      <c r="J92" s="293"/>
      <c r="K92" s="760" t="e">
        <f t="shared" si="8"/>
        <v>#REF!</v>
      </c>
      <c r="L92" s="847"/>
      <c r="M92" s="136">
        <f>+AC92</f>
        <v>0</v>
      </c>
      <c r="N92" s="678"/>
      <c r="O92" s="127">
        <v>903.84</v>
      </c>
      <c r="P92" s="681"/>
      <c r="Q92" s="695">
        <v>0</v>
      </c>
      <c r="R92" s="681"/>
      <c r="S92" s="760">
        <f>+M92+O92+Q92</f>
        <v>903.84</v>
      </c>
      <c r="T92" s="847"/>
      <c r="U92" s="136">
        <v>0</v>
      </c>
      <c r="V92" s="121"/>
      <c r="W92" s="127" t="e">
        <f>+#REF!</f>
        <v>#REF!</v>
      </c>
      <c r="X92" s="293"/>
      <c r="Y92" s="695">
        <v>0</v>
      </c>
      <c r="Z92" s="293"/>
      <c r="AA92" s="760" t="e">
        <f>+U92+W92+Y92</f>
        <v>#REF!</v>
      </c>
      <c r="AB92" s="115"/>
      <c r="AC92" s="135">
        <v>0</v>
      </c>
      <c r="AD92" s="115"/>
      <c r="AE92" s="135" t="e">
        <f>+AA92-AC92</f>
        <v>#REF!</v>
      </c>
      <c r="AF92" s="302"/>
      <c r="AG92" s="302"/>
      <c r="AH92" s="135">
        <v>1361.75</v>
      </c>
      <c r="AI92" s="140"/>
      <c r="AJ92" s="14"/>
      <c r="AK92" s="32"/>
      <c r="AL92" s="115"/>
      <c r="AM92" s="115"/>
      <c r="AN92" s="307"/>
      <c r="AO92" s="32"/>
    </row>
    <row r="93" spans="1:41" ht="15.75">
      <c r="A93" s="524"/>
      <c r="B93" s="524"/>
      <c r="C93" s="524" t="s">
        <v>166</v>
      </c>
      <c r="D93" s="524"/>
      <c r="E93" s="136">
        <f>+AE93</f>
        <v>1613.88</v>
      </c>
      <c r="F93" s="527"/>
      <c r="G93" s="127">
        <f>+W93</f>
        <v>0</v>
      </c>
      <c r="H93" s="307"/>
      <c r="I93" s="695">
        <f>+Y93</f>
        <v>0</v>
      </c>
      <c r="J93" s="293"/>
      <c r="K93" s="760">
        <f t="shared" si="8"/>
        <v>1613.88</v>
      </c>
      <c r="L93" s="847"/>
      <c r="M93" s="136">
        <v>1435.5</v>
      </c>
      <c r="N93" s="678"/>
      <c r="O93" s="127">
        <v>0</v>
      </c>
      <c r="P93" s="681"/>
      <c r="Q93" s="695">
        <v>0</v>
      </c>
      <c r="R93" s="681"/>
      <c r="S93" s="760">
        <f>+M93+O93+Q93</f>
        <v>1435.5</v>
      </c>
      <c r="T93" s="847"/>
      <c r="U93" s="136">
        <f>1607.93</f>
        <v>1607.93</v>
      </c>
      <c r="V93" s="121"/>
      <c r="W93" s="127">
        <v>0</v>
      </c>
      <c r="X93" s="293"/>
      <c r="Y93" s="695">
        <v>0</v>
      </c>
      <c r="Z93" s="293"/>
      <c r="AA93" s="760">
        <f>+U93+W93+Y93</f>
        <v>1607.93</v>
      </c>
      <c r="AB93" s="115"/>
      <c r="AC93" s="135">
        <v>-5.95</v>
      </c>
      <c r="AD93" s="115"/>
      <c r="AE93" s="135">
        <f>+U93-AC93</f>
        <v>1613.88</v>
      </c>
      <c r="AF93" s="302"/>
      <c r="AG93" s="302"/>
      <c r="AH93" s="135">
        <v>2135.11</v>
      </c>
      <c r="AI93" s="140"/>
      <c r="AJ93" s="14"/>
      <c r="AK93" s="32"/>
      <c r="AL93" s="115"/>
      <c r="AM93" s="115"/>
      <c r="AN93" s="307"/>
      <c r="AO93" s="32"/>
    </row>
    <row r="94" spans="1:41" ht="15.75" hidden="1">
      <c r="A94" s="524"/>
      <c r="B94" s="524"/>
      <c r="C94" s="524" t="s">
        <v>200</v>
      </c>
      <c r="D94" s="524"/>
      <c r="E94" s="136"/>
      <c r="F94" s="527"/>
      <c r="G94" s="127"/>
      <c r="H94" s="293"/>
      <c r="I94" s="695"/>
      <c r="J94" s="293"/>
      <c r="K94" s="760">
        <f t="shared" si="8"/>
        <v>0</v>
      </c>
      <c r="L94" s="847"/>
      <c r="M94" s="136"/>
      <c r="N94" s="678"/>
      <c r="O94" s="127"/>
      <c r="P94" s="681"/>
      <c r="Q94" s="695"/>
      <c r="R94" s="681"/>
      <c r="S94" s="760"/>
      <c r="T94" s="847"/>
      <c r="U94" s="136"/>
      <c r="V94" s="121"/>
      <c r="W94" s="127"/>
      <c r="X94" s="293"/>
      <c r="Y94" s="695"/>
      <c r="Z94" s="293"/>
      <c r="AA94" s="760"/>
      <c r="AB94" s="115"/>
      <c r="AC94" s="135"/>
      <c r="AD94" s="115"/>
      <c r="AE94" s="135">
        <f>+U94-AC94</f>
        <v>0</v>
      </c>
      <c r="AF94" s="302"/>
      <c r="AG94" s="302"/>
      <c r="AH94" s="135"/>
      <c r="AI94" s="140"/>
      <c r="AJ94" s="14"/>
      <c r="AK94" s="32"/>
      <c r="AL94" s="115"/>
      <c r="AM94" s="115"/>
      <c r="AN94" s="307"/>
      <c r="AO94" s="32"/>
    </row>
    <row r="95" spans="1:41" ht="15" customHeight="1">
      <c r="A95" s="524"/>
      <c r="B95" s="524"/>
      <c r="C95" s="524" t="s">
        <v>198</v>
      </c>
      <c r="D95" s="524"/>
      <c r="E95" s="429">
        <f>+AE95</f>
        <v>-1708.39</v>
      </c>
      <c r="F95" s="527"/>
      <c r="G95" s="729">
        <f>+W95</f>
        <v>0</v>
      </c>
      <c r="H95" s="307"/>
      <c r="I95" s="696">
        <f>+Y95</f>
        <v>0</v>
      </c>
      <c r="J95" s="293"/>
      <c r="K95" s="760">
        <f t="shared" si="8"/>
        <v>-1708.39</v>
      </c>
      <c r="L95" s="847"/>
      <c r="M95" s="136">
        <v>-1561.54</v>
      </c>
      <c r="N95" s="678"/>
      <c r="O95" s="729">
        <v>0</v>
      </c>
      <c r="P95" s="681"/>
      <c r="Q95" s="696">
        <v>0</v>
      </c>
      <c r="R95" s="681"/>
      <c r="S95" s="865">
        <f>+M95+O95+Q95</f>
        <v>-1561.54</v>
      </c>
      <c r="T95" s="847"/>
      <c r="U95" s="136">
        <v>-1711.42</v>
      </c>
      <c r="V95" s="121"/>
      <c r="W95" s="729">
        <v>0</v>
      </c>
      <c r="X95" s="293"/>
      <c r="Y95" s="696">
        <v>0</v>
      </c>
      <c r="Z95" s="293"/>
      <c r="AA95" s="865">
        <f>+U95+W95+Y95</f>
        <v>-1711.42</v>
      </c>
      <c r="AB95" s="115"/>
      <c r="AC95" s="135">
        <v>-3.03</v>
      </c>
      <c r="AD95" s="115"/>
      <c r="AE95" s="135">
        <f>+AA95-AC95</f>
        <v>-1708.39</v>
      </c>
      <c r="AF95" s="302"/>
      <c r="AG95" s="302"/>
      <c r="AH95" s="135">
        <v>-1662.86</v>
      </c>
      <c r="AI95" s="140"/>
      <c r="AJ95" s="14"/>
      <c r="AK95" s="32"/>
      <c r="AL95" s="115"/>
      <c r="AM95" s="115"/>
      <c r="AN95" s="307"/>
      <c r="AO95" s="32"/>
    </row>
    <row r="96" spans="1:41" ht="15" customHeight="1" thickBot="1">
      <c r="A96" s="524"/>
      <c r="B96" s="524"/>
      <c r="C96" s="524"/>
      <c r="D96" s="524"/>
      <c r="E96" s="430" t="e">
        <f>SUM(E90:E95)</f>
        <v>#REF!</v>
      </c>
      <c r="F96" s="527"/>
      <c r="G96" s="731" t="e">
        <f>SUM(G90:G95)</f>
        <v>#REF!</v>
      </c>
      <c r="H96" s="306"/>
      <c r="I96" s="698" t="e">
        <f>SUM(I90:I95)</f>
        <v>#REF!</v>
      </c>
      <c r="J96" s="306"/>
      <c r="K96" s="771" t="e">
        <f>SUM(K90:K95)</f>
        <v>#REF!</v>
      </c>
      <c r="L96" s="846"/>
      <c r="M96" s="430">
        <f>SUM(M90:M95)</f>
        <v>17763.559999999998</v>
      </c>
      <c r="N96" s="678"/>
      <c r="O96" s="731">
        <f>SUM(O90:O95)</f>
        <v>903.84</v>
      </c>
      <c r="P96" s="692"/>
      <c r="Q96" s="698">
        <f>SUM(Q90:Q95)</f>
        <v>1960.41</v>
      </c>
      <c r="R96" s="692"/>
      <c r="S96" s="771">
        <f>SUM(S90:S95)</f>
        <v>20627.809999999998</v>
      </c>
      <c r="T96" s="846"/>
      <c r="U96" s="430" t="e">
        <f>SUM(U90:U95)</f>
        <v>#REF!</v>
      </c>
      <c r="V96" s="118"/>
      <c r="W96" s="731" t="e">
        <f>SUM(W90:W95)</f>
        <v>#REF!</v>
      </c>
      <c r="X96" s="306"/>
      <c r="Y96" s="698" t="e">
        <f>SUM(Y90:Y95)</f>
        <v>#REF!</v>
      </c>
      <c r="Z96" s="306"/>
      <c r="AA96" s="771" t="e">
        <f>SUM(AA90:AA95)</f>
        <v>#REF!</v>
      </c>
      <c r="AB96" s="128"/>
      <c r="AC96" s="424">
        <f>SUM(AC90:AC95)</f>
        <v>-21.150000000000002</v>
      </c>
      <c r="AD96" s="128"/>
      <c r="AE96" s="424" t="e">
        <f>SUM(AE90:AE95)</f>
        <v>#REF!</v>
      </c>
      <c r="AF96" s="302"/>
      <c r="AG96" s="302"/>
      <c r="AH96" s="424">
        <f>SUM(AH90:AH95)</f>
        <v>28859.28</v>
      </c>
      <c r="AI96" s="140"/>
      <c r="AJ96" s="14"/>
      <c r="AK96" s="32"/>
      <c r="AL96" s="128"/>
      <c r="AM96" s="115"/>
      <c r="AN96" s="306"/>
      <c r="AO96" s="32"/>
    </row>
    <row r="97" spans="1:41" ht="15" customHeight="1" thickBot="1" thickTop="1">
      <c r="A97" s="524"/>
      <c r="B97" s="524"/>
      <c r="C97" s="524"/>
      <c r="D97" s="524"/>
      <c r="E97" s="756"/>
      <c r="F97" s="527"/>
      <c r="G97" s="733"/>
      <c r="H97" s="733"/>
      <c r="I97" s="700"/>
      <c r="J97" s="733"/>
      <c r="K97" s="866"/>
      <c r="L97" s="852"/>
      <c r="M97" s="787"/>
      <c r="N97" s="678"/>
      <c r="O97" s="733"/>
      <c r="P97" s="700"/>
      <c r="Q97" s="700"/>
      <c r="R97" s="700"/>
      <c r="S97" s="866"/>
      <c r="T97" s="852"/>
      <c r="U97" s="791"/>
      <c r="V97" s="537"/>
      <c r="W97" s="733"/>
      <c r="X97" s="733"/>
      <c r="Y97" s="700"/>
      <c r="Z97" s="733"/>
      <c r="AA97" s="866"/>
      <c r="AB97" s="142"/>
      <c r="AC97" s="433"/>
      <c r="AD97" s="308"/>
      <c r="AE97" s="433"/>
      <c r="AF97" s="309"/>
      <c r="AG97" s="309"/>
      <c r="AH97" s="433"/>
      <c r="AI97" s="140"/>
      <c r="AJ97" s="14"/>
      <c r="AK97" s="32"/>
      <c r="AL97" s="14"/>
      <c r="AM97" s="14"/>
      <c r="AN97" s="310"/>
      <c r="AO97" s="32"/>
    </row>
    <row r="98" spans="1:36" ht="15" customHeight="1">
      <c r="A98" s="538"/>
      <c r="B98" s="538"/>
      <c r="C98" s="538"/>
      <c r="D98" s="538"/>
      <c r="E98" s="701"/>
      <c r="F98" s="538"/>
      <c r="G98" s="539"/>
      <c r="H98" s="539"/>
      <c r="I98" s="539"/>
      <c r="J98" s="539"/>
      <c r="K98" s="539"/>
      <c r="L98" s="539"/>
      <c r="M98" s="701"/>
      <c r="N98" s="701"/>
      <c r="O98" s="539"/>
      <c r="P98" s="701"/>
      <c r="Q98" s="701"/>
      <c r="R98" s="701"/>
      <c r="S98" s="804"/>
      <c r="T98" s="539"/>
      <c r="U98" s="712"/>
      <c r="V98" s="538"/>
      <c r="W98" s="539"/>
      <c r="X98" s="539"/>
      <c r="Y98" s="701"/>
      <c r="Z98" s="539"/>
      <c r="AA98" s="804"/>
      <c r="AB98" s="113"/>
      <c r="AC98" s="143"/>
      <c r="AD98" s="143"/>
      <c r="AE98" s="143"/>
      <c r="AF98" s="144"/>
      <c r="AG98" s="144"/>
      <c r="AH98" s="279"/>
      <c r="AI98" s="113"/>
      <c r="AJ98" s="109"/>
    </row>
    <row r="99" spans="1:36" ht="4.5" customHeight="1">
      <c r="A99" s="113"/>
      <c r="B99" s="113"/>
      <c r="C99" s="113"/>
      <c r="D99" s="113"/>
      <c r="E99" s="701"/>
      <c r="F99" s="538"/>
      <c r="G99" s="539"/>
      <c r="H99" s="539"/>
      <c r="I99" s="539"/>
      <c r="J99" s="539"/>
      <c r="K99" s="539"/>
      <c r="L99" s="539"/>
      <c r="M99" s="701"/>
      <c r="N99" s="701"/>
      <c r="O99" s="539"/>
      <c r="P99" s="701"/>
      <c r="Q99" s="701"/>
      <c r="R99" s="701"/>
      <c r="S99" s="804"/>
      <c r="T99" s="539"/>
      <c r="U99" s="712"/>
      <c r="V99" s="538"/>
      <c r="W99" s="539"/>
      <c r="X99" s="539"/>
      <c r="Y99" s="701"/>
      <c r="Z99" s="539"/>
      <c r="AA99" s="804"/>
      <c r="AB99" s="113"/>
      <c r="AC99" s="108"/>
      <c r="AD99" s="108"/>
      <c r="AE99" s="108"/>
      <c r="AF99" s="144"/>
      <c r="AG99" s="144"/>
      <c r="AI99" s="113"/>
      <c r="AJ99" s="109"/>
    </row>
    <row r="100" s="4" customFormat="1" ht="15.75">
      <c r="A100" s="17"/>
    </row>
    <row r="101" s="4" customFormat="1" ht="15.75">
      <c r="A101" s="17"/>
    </row>
    <row r="102" s="4" customFormat="1" ht="15.75">
      <c r="A102" s="17"/>
    </row>
    <row r="103" s="4" customFormat="1" ht="15.75">
      <c r="A103" s="17"/>
    </row>
    <row r="104" s="4" customFormat="1" ht="15.75">
      <c r="A104" s="17"/>
    </row>
    <row r="105" s="4" customFormat="1" ht="15.75">
      <c r="A105" s="17"/>
    </row>
    <row r="106" s="4" customFormat="1" ht="15.75">
      <c r="A106" s="17"/>
    </row>
    <row r="107" s="4" customFormat="1" ht="15.75">
      <c r="A107" s="17"/>
    </row>
    <row r="108" s="4" customFormat="1" ht="15.75">
      <c r="A108" s="17"/>
    </row>
    <row r="109" s="4" customFormat="1" ht="15.75">
      <c r="A109" s="17"/>
    </row>
    <row r="110" s="4" customFormat="1" ht="15.75">
      <c r="A110" s="17"/>
    </row>
    <row r="111" s="4" customFormat="1" ht="15.75">
      <c r="A111" s="17"/>
    </row>
    <row r="112" s="4" customFormat="1" ht="15.75">
      <c r="A112" s="17"/>
    </row>
    <row r="113" s="4" customFormat="1" ht="15.75">
      <c r="A113" s="17"/>
    </row>
    <row r="114" s="4" customFormat="1" ht="15.75">
      <c r="A114" s="17"/>
    </row>
    <row r="115" s="4" customFormat="1" ht="15.75">
      <c r="A115" s="17"/>
    </row>
    <row r="116" s="4" customFormat="1" ht="15.75">
      <c r="A116" s="17"/>
    </row>
    <row r="117" s="4" customFormat="1" ht="15.75">
      <c r="A117" s="17"/>
    </row>
    <row r="118" s="4" customFormat="1" ht="15.75">
      <c r="A118" s="17"/>
    </row>
    <row r="119" s="4" customFormat="1" ht="15.75">
      <c r="A119" s="17"/>
    </row>
    <row r="120" s="4" customFormat="1" ht="15.75">
      <c r="A120" s="17"/>
    </row>
    <row r="121" s="4" customFormat="1" ht="15.75">
      <c r="A121" s="17"/>
    </row>
    <row r="122" s="4" customFormat="1" ht="15.75">
      <c r="A122" s="17"/>
    </row>
    <row r="123" s="4" customFormat="1" ht="15.75">
      <c r="A123" s="17"/>
    </row>
    <row r="124" s="4" customFormat="1" ht="15.75">
      <c r="A124" s="17"/>
    </row>
    <row r="125" s="4" customFormat="1" ht="15.75">
      <c r="A125" s="17"/>
    </row>
    <row r="126" s="4" customFormat="1" ht="15.75">
      <c r="A126" s="17"/>
    </row>
    <row r="127" s="4" customFormat="1" ht="15.75">
      <c r="A127" s="17"/>
    </row>
    <row r="128" s="4" customFormat="1" ht="15.75">
      <c r="A128" s="17"/>
    </row>
    <row r="129" s="4" customFormat="1" ht="15.75">
      <c r="A129" s="17"/>
    </row>
    <row r="130" s="4" customFormat="1" ht="15.75">
      <c r="A130" s="17"/>
    </row>
    <row r="131" s="4" customFormat="1" ht="15.75">
      <c r="A131" s="17"/>
    </row>
    <row r="132" s="4" customFormat="1" ht="15.75">
      <c r="A132" s="17"/>
    </row>
    <row r="133" s="4" customFormat="1" ht="15.75">
      <c r="A133" s="17"/>
    </row>
    <row r="134" s="4" customFormat="1" ht="15.75">
      <c r="A134" s="17"/>
    </row>
    <row r="135" s="4" customFormat="1" ht="15.75">
      <c r="A135" s="17"/>
    </row>
    <row r="136" s="4" customFormat="1" ht="15.75">
      <c r="A136" s="17"/>
    </row>
    <row r="137" s="4" customFormat="1" ht="15.75">
      <c r="A137" s="17"/>
    </row>
    <row r="138" s="4" customFormat="1" ht="15.75">
      <c r="A138" s="17"/>
    </row>
    <row r="139" s="4" customFormat="1" ht="15.75">
      <c r="A139" s="17"/>
    </row>
    <row r="140" s="4" customFormat="1" ht="15.75">
      <c r="A140" s="17"/>
    </row>
    <row r="141" s="4" customFormat="1" ht="15.75">
      <c r="A141" s="17"/>
    </row>
    <row r="142" s="4" customFormat="1" ht="15.75">
      <c r="A142" s="17"/>
    </row>
    <row r="143" s="4" customFormat="1" ht="15.75">
      <c r="A143" s="17"/>
    </row>
    <row r="144" s="4" customFormat="1" ht="15.75">
      <c r="A144" s="17"/>
    </row>
    <row r="145" s="4" customFormat="1" ht="15.75">
      <c r="A145" s="17"/>
    </row>
    <row r="146" s="4" customFormat="1" ht="15.75">
      <c r="A146" s="17"/>
    </row>
    <row r="147" s="4" customFormat="1" ht="15.75">
      <c r="A147" s="17"/>
    </row>
    <row r="148" s="4" customFormat="1" ht="15.75">
      <c r="A148" s="17"/>
    </row>
    <row r="149" s="4" customFormat="1" ht="15.75">
      <c r="A149" s="17"/>
    </row>
    <row r="150" s="4" customFormat="1" ht="15.75">
      <c r="A150" s="17"/>
    </row>
    <row r="151" s="4" customFormat="1" ht="15.75">
      <c r="A151" s="17"/>
    </row>
    <row r="152" s="4" customFormat="1" ht="15.75">
      <c r="A152" s="17"/>
    </row>
    <row r="153" s="4" customFormat="1" ht="15.75">
      <c r="A153" s="17"/>
    </row>
    <row r="154" s="4" customFormat="1" ht="15.75">
      <c r="A154" s="17"/>
    </row>
    <row r="155" s="4" customFormat="1" ht="15.75">
      <c r="A155" s="17"/>
    </row>
    <row r="156" s="4" customFormat="1" ht="15.75">
      <c r="A156" s="17"/>
    </row>
    <row r="157" s="4" customFormat="1" ht="15.75">
      <c r="A157" s="17"/>
    </row>
    <row r="158" s="4" customFormat="1" ht="15.75">
      <c r="A158" s="17"/>
    </row>
    <row r="159" s="4" customFormat="1" ht="15.75">
      <c r="A159" s="17"/>
    </row>
    <row r="160" s="4" customFormat="1" ht="15.75">
      <c r="A160" s="17"/>
    </row>
    <row r="161" s="4" customFormat="1" ht="15.75">
      <c r="A161" s="17"/>
    </row>
    <row r="162" s="4" customFormat="1" ht="15.75">
      <c r="A162" s="17"/>
    </row>
    <row r="163" s="4" customFormat="1" ht="15.75">
      <c r="A163" s="17"/>
    </row>
    <row r="164" s="4" customFormat="1" ht="15.75">
      <c r="A164" s="17"/>
    </row>
    <row r="165" s="4" customFormat="1" ht="15.75">
      <c r="A165" s="17"/>
    </row>
    <row r="166" s="4" customFormat="1" ht="15.75">
      <c r="A166" s="17"/>
    </row>
    <row r="167" s="4" customFormat="1" ht="15.75">
      <c r="A167" s="17"/>
    </row>
    <row r="168" s="4" customFormat="1" ht="15.75">
      <c r="A168" s="17"/>
    </row>
    <row r="169" s="4" customFormat="1" ht="15.75">
      <c r="A169" s="17"/>
    </row>
    <row r="170" s="4" customFormat="1" ht="15.75">
      <c r="A170" s="17"/>
    </row>
    <row r="171" s="4" customFormat="1" ht="15.75">
      <c r="A171" s="17"/>
    </row>
    <row r="172" s="4" customFormat="1" ht="15.75">
      <c r="A172" s="17"/>
    </row>
    <row r="173" s="4" customFormat="1" ht="15.75">
      <c r="A173" s="17"/>
    </row>
    <row r="174" s="4" customFormat="1" ht="15.75">
      <c r="A174" s="17"/>
    </row>
    <row r="175" s="4" customFormat="1" ht="15.75">
      <c r="A175" s="17"/>
    </row>
    <row r="176" s="4" customFormat="1" ht="15.75">
      <c r="A176" s="17"/>
    </row>
    <row r="177" s="4" customFormat="1" ht="15.75">
      <c r="A177" s="17"/>
    </row>
    <row r="178" s="4" customFormat="1" ht="15.75">
      <c r="A178" s="17"/>
    </row>
    <row r="179" s="4" customFormat="1" ht="15.75">
      <c r="A179" s="17"/>
    </row>
    <row r="180" s="4" customFormat="1" ht="15.75">
      <c r="A180" s="17"/>
    </row>
    <row r="181" s="4" customFormat="1" ht="15.75">
      <c r="A181" s="17"/>
    </row>
    <row r="182" s="4" customFormat="1" ht="15.75">
      <c r="A182" s="17"/>
    </row>
    <row r="183" s="4" customFormat="1" ht="15.75">
      <c r="A183" s="17"/>
    </row>
    <row r="184" s="4" customFormat="1" ht="15.75">
      <c r="A184" s="17"/>
    </row>
    <row r="185" s="4" customFormat="1" ht="15.75">
      <c r="A185" s="17"/>
    </row>
    <row r="186" s="4" customFormat="1" ht="15.75">
      <c r="A186" s="17"/>
    </row>
    <row r="187" s="4" customFormat="1" ht="15.75">
      <c r="A187" s="17"/>
    </row>
    <row r="188" s="4" customFormat="1" ht="15.75">
      <c r="A188" s="17"/>
    </row>
    <row r="189" s="4" customFormat="1" ht="15.75">
      <c r="A189" s="17"/>
    </row>
    <row r="190" s="4" customFormat="1" ht="15.75">
      <c r="A190" s="17"/>
    </row>
    <row r="191" s="4" customFormat="1" ht="15.75">
      <c r="A191" s="17"/>
    </row>
    <row r="192" s="4" customFormat="1" ht="15.75">
      <c r="A192" s="17"/>
    </row>
    <row r="193" s="4" customFormat="1" ht="15.75">
      <c r="A193" s="17"/>
    </row>
    <row r="194" s="4" customFormat="1" ht="15.75">
      <c r="A194" s="17"/>
    </row>
    <row r="195" s="4" customFormat="1" ht="15.75">
      <c r="A195" s="17"/>
    </row>
    <row r="196" s="4" customFormat="1" ht="15.75">
      <c r="A196" s="17"/>
    </row>
    <row r="197" s="4" customFormat="1" ht="15.75">
      <c r="A197" s="17"/>
    </row>
    <row r="198" s="4" customFormat="1" ht="15.75">
      <c r="A198" s="17"/>
    </row>
    <row r="199" s="4" customFormat="1" ht="15.75">
      <c r="A199" s="17"/>
    </row>
    <row r="200" s="4" customFormat="1" ht="15.75">
      <c r="A200" s="17"/>
    </row>
    <row r="201" s="4" customFormat="1" ht="15.75">
      <c r="A201" s="17"/>
    </row>
    <row r="202" s="4" customFormat="1" ht="15.75">
      <c r="A202" s="17"/>
    </row>
    <row r="203" s="4" customFormat="1" ht="15.75">
      <c r="A203" s="17"/>
    </row>
    <row r="204" s="4" customFormat="1" ht="15.75">
      <c r="A204" s="17"/>
    </row>
    <row r="205" s="4" customFormat="1" ht="15.75">
      <c r="A205" s="17"/>
    </row>
    <row r="206" s="4" customFormat="1" ht="15.75">
      <c r="A206" s="17"/>
    </row>
    <row r="207" s="4" customFormat="1" ht="15.75">
      <c r="A207" s="17"/>
    </row>
    <row r="208" s="4" customFormat="1" ht="15.75">
      <c r="A208" s="17"/>
    </row>
    <row r="209" s="4" customFormat="1" ht="15.75">
      <c r="A209" s="17"/>
    </row>
    <row r="210" s="4" customFormat="1" ht="15.75">
      <c r="A210" s="17"/>
    </row>
    <row r="211" s="4" customFormat="1" ht="15.75">
      <c r="A211" s="17"/>
    </row>
    <row r="212" s="4" customFormat="1" ht="15.75">
      <c r="A212" s="17"/>
    </row>
    <row r="213" s="4" customFormat="1" ht="15.75">
      <c r="A213" s="17"/>
    </row>
    <row r="214" s="4" customFormat="1" ht="15.75">
      <c r="A214" s="17"/>
    </row>
    <row r="215" s="4" customFormat="1" ht="15.75">
      <c r="A215" s="17"/>
    </row>
    <row r="216" s="4" customFormat="1" ht="15.75">
      <c r="A216" s="17"/>
    </row>
    <row r="217" s="4" customFormat="1" ht="15.75">
      <c r="A217" s="17"/>
    </row>
    <row r="218" s="4" customFormat="1" ht="15.75">
      <c r="A218" s="17"/>
    </row>
    <row r="219" s="4" customFormat="1" ht="15.75">
      <c r="A219" s="17"/>
    </row>
    <row r="220" s="4" customFormat="1" ht="15.75">
      <c r="A220" s="17"/>
    </row>
    <row r="221" s="4" customFormat="1" ht="15.75">
      <c r="A221" s="17"/>
    </row>
    <row r="222" s="4" customFormat="1" ht="15.75">
      <c r="A222" s="17"/>
    </row>
    <row r="223" s="4" customFormat="1" ht="15.75">
      <c r="A223" s="17"/>
    </row>
    <row r="224" s="4" customFormat="1" ht="15.75">
      <c r="A224" s="17"/>
    </row>
    <row r="225" s="4" customFormat="1" ht="15.75">
      <c r="A225" s="17"/>
    </row>
    <row r="226" s="4" customFormat="1" ht="15.75">
      <c r="A226" s="17"/>
    </row>
    <row r="227" s="4" customFormat="1" ht="15.75">
      <c r="A227" s="17"/>
    </row>
    <row r="228" s="4" customFormat="1" ht="15.75">
      <c r="A228" s="17"/>
    </row>
    <row r="229" s="4" customFormat="1" ht="15.75">
      <c r="A229" s="17"/>
    </row>
    <row r="230" s="4" customFormat="1" ht="15.75">
      <c r="A230" s="17"/>
    </row>
    <row r="231" s="4" customFormat="1" ht="15.75">
      <c r="A231" s="17"/>
    </row>
    <row r="232" s="4" customFormat="1" ht="15.75">
      <c r="A232" s="17"/>
    </row>
    <row r="233" s="4" customFormat="1" ht="15.75">
      <c r="A233" s="17"/>
    </row>
    <row r="234" s="4" customFormat="1" ht="15.75">
      <c r="A234" s="17"/>
    </row>
    <row r="235" s="4" customFormat="1" ht="15.75">
      <c r="A235" s="17"/>
    </row>
    <row r="236" s="4" customFormat="1" ht="15.75">
      <c r="A236" s="17"/>
    </row>
    <row r="237" s="4" customFormat="1" ht="15.75">
      <c r="A237" s="17"/>
    </row>
    <row r="238" s="4" customFormat="1" ht="15.75">
      <c r="A238" s="17"/>
    </row>
    <row r="239" s="4" customFormat="1" ht="15.75">
      <c r="A239" s="17"/>
    </row>
    <row r="240" s="4" customFormat="1" ht="15.75">
      <c r="A240" s="17"/>
    </row>
    <row r="241" s="4" customFormat="1" ht="15.75">
      <c r="A241" s="17"/>
    </row>
    <row r="242" s="4" customFormat="1" ht="15.75">
      <c r="A242" s="17"/>
    </row>
    <row r="243" s="4" customFormat="1" ht="15.75">
      <c r="A243" s="17"/>
    </row>
    <row r="244" s="4" customFormat="1" ht="15.75">
      <c r="A244" s="17"/>
    </row>
    <row r="245" s="4" customFormat="1" ht="15.75">
      <c r="A245" s="17"/>
    </row>
    <row r="246" s="4" customFormat="1" ht="15.75">
      <c r="A246" s="17"/>
    </row>
    <row r="247" s="4" customFormat="1" ht="15.75">
      <c r="A247" s="17"/>
    </row>
    <row r="248" s="4" customFormat="1" ht="15.75">
      <c r="A248" s="17"/>
    </row>
    <row r="249" s="4" customFormat="1" ht="15.75">
      <c r="A249" s="17"/>
    </row>
    <row r="250" s="4" customFormat="1" ht="15.75">
      <c r="A250" s="17"/>
    </row>
    <row r="251" s="4" customFormat="1" ht="15.75">
      <c r="A251" s="17"/>
    </row>
    <row r="252" s="4" customFormat="1" ht="15.75">
      <c r="A252" s="17"/>
    </row>
    <row r="253" s="4" customFormat="1" ht="15.75">
      <c r="A253" s="17"/>
    </row>
    <row r="254" s="4" customFormat="1" ht="15.75">
      <c r="A254" s="17"/>
    </row>
    <row r="255" s="4" customFormat="1" ht="15.75">
      <c r="A255" s="17"/>
    </row>
    <row r="256" s="4" customFormat="1" ht="15.75">
      <c r="A256" s="17"/>
    </row>
    <row r="257" s="4" customFormat="1" ht="15.75">
      <c r="A257" s="17"/>
    </row>
    <row r="258" s="4" customFormat="1" ht="15.75">
      <c r="A258" s="17"/>
    </row>
    <row r="259" s="4" customFormat="1" ht="15.75">
      <c r="A259" s="17"/>
    </row>
    <row r="260" s="4" customFormat="1" ht="15.75">
      <c r="A260" s="17"/>
    </row>
    <row r="261" s="4" customFormat="1" ht="15.75">
      <c r="A261" s="17"/>
    </row>
    <row r="262" s="4" customFormat="1" ht="15.75">
      <c r="A262" s="17"/>
    </row>
    <row r="263" s="4" customFormat="1" ht="15.75">
      <c r="A263" s="17"/>
    </row>
    <row r="264" s="4" customFormat="1" ht="15.75">
      <c r="A264" s="17"/>
    </row>
    <row r="265" s="4" customFormat="1" ht="15.75">
      <c r="A265" s="17"/>
    </row>
    <row r="266" s="4" customFormat="1" ht="15.75">
      <c r="A266" s="17"/>
    </row>
    <row r="267" s="4" customFormat="1" ht="15.75">
      <c r="A267" s="17"/>
    </row>
    <row r="268" s="4" customFormat="1" ht="15.75">
      <c r="A268" s="17"/>
    </row>
    <row r="269" s="4" customFormat="1" ht="15.75">
      <c r="A269" s="17"/>
    </row>
    <row r="270" s="4" customFormat="1" ht="15.75">
      <c r="A270" s="17"/>
    </row>
    <row r="271" s="4" customFormat="1" ht="15.75">
      <c r="A271" s="17"/>
    </row>
    <row r="272" s="4" customFormat="1" ht="15.75">
      <c r="A272" s="17"/>
    </row>
    <row r="273" s="4" customFormat="1" ht="15.75">
      <c r="A273" s="17"/>
    </row>
    <row r="274" s="4" customFormat="1" ht="15.75">
      <c r="A274" s="17"/>
    </row>
    <row r="275" s="4" customFormat="1" ht="15.75">
      <c r="A275" s="17"/>
    </row>
    <row r="276" s="4" customFormat="1" ht="15.75">
      <c r="A276" s="17"/>
    </row>
    <row r="277" s="4" customFormat="1" ht="15.75">
      <c r="A277" s="17"/>
    </row>
    <row r="278" s="4" customFormat="1" ht="15.75">
      <c r="A278" s="17"/>
    </row>
    <row r="279" s="4" customFormat="1" ht="15.75">
      <c r="A279" s="17"/>
    </row>
    <row r="280" s="4" customFormat="1" ht="15.75">
      <c r="A280" s="17"/>
    </row>
    <row r="281" s="4" customFormat="1" ht="15.75">
      <c r="A281" s="17"/>
    </row>
    <row r="282" s="4" customFormat="1" ht="15.75">
      <c r="A282" s="17"/>
    </row>
    <row r="283" s="4" customFormat="1" ht="15.75">
      <c r="A283" s="17"/>
    </row>
    <row r="284" s="4" customFormat="1" ht="15.75">
      <c r="A284" s="17"/>
    </row>
    <row r="285" s="4" customFormat="1" ht="15.75">
      <c r="A285" s="17"/>
    </row>
    <row r="286" s="4" customFormat="1" ht="15.75">
      <c r="A286" s="17"/>
    </row>
    <row r="287" s="4" customFormat="1" ht="15.75">
      <c r="A287" s="17"/>
    </row>
    <row r="288" s="4" customFormat="1" ht="15.75">
      <c r="A288" s="17"/>
    </row>
    <row r="289" s="4" customFormat="1" ht="15.75">
      <c r="A289" s="17"/>
    </row>
    <row r="290" s="4" customFormat="1" ht="15.75">
      <c r="A290" s="17"/>
    </row>
    <row r="291" s="4" customFormat="1" ht="15.75">
      <c r="A291" s="17"/>
    </row>
    <row r="292" s="4" customFormat="1" ht="15.75">
      <c r="A292" s="17"/>
    </row>
    <row r="293" s="4" customFormat="1" ht="15.75">
      <c r="A293" s="17"/>
    </row>
    <row r="294" s="4" customFormat="1" ht="15.75">
      <c r="A294" s="17"/>
    </row>
    <row r="295" s="4" customFormat="1" ht="15.75">
      <c r="A295" s="17"/>
    </row>
    <row r="296" s="4" customFormat="1" ht="15.75">
      <c r="A296" s="17"/>
    </row>
    <row r="297" s="4" customFormat="1" ht="15.75">
      <c r="A297" s="17"/>
    </row>
    <row r="298" s="4" customFormat="1" ht="15.75">
      <c r="A298" s="17"/>
    </row>
    <row r="299" s="4" customFormat="1" ht="15.75">
      <c r="A299" s="17"/>
    </row>
    <row r="300" s="4" customFormat="1" ht="15.75">
      <c r="A300" s="17"/>
    </row>
    <row r="301" s="4" customFormat="1" ht="15.75">
      <c r="A301" s="17"/>
    </row>
    <row r="302" s="4" customFormat="1" ht="15.75">
      <c r="A302" s="17"/>
    </row>
    <row r="303" s="4" customFormat="1" ht="15.75">
      <c r="A303" s="17"/>
    </row>
    <row r="304" s="4" customFormat="1" ht="15.75">
      <c r="A304" s="17"/>
    </row>
    <row r="305" s="4" customFormat="1" ht="15.75">
      <c r="A305" s="17"/>
    </row>
    <row r="306" s="4" customFormat="1" ht="15.75">
      <c r="A306" s="17"/>
    </row>
    <row r="307" s="4" customFormat="1" ht="15.75">
      <c r="A307" s="17"/>
    </row>
    <row r="308" s="4" customFormat="1" ht="15.75">
      <c r="A308" s="17"/>
    </row>
    <row r="309" s="4" customFormat="1" ht="15.75">
      <c r="A309" s="17"/>
    </row>
    <row r="310" s="4" customFormat="1" ht="15.75">
      <c r="A310" s="17"/>
    </row>
    <row r="311" s="4" customFormat="1" ht="15.75">
      <c r="A311" s="17"/>
    </row>
    <row r="312" s="4" customFormat="1" ht="15.75">
      <c r="A312" s="17"/>
    </row>
    <row r="313" s="4" customFormat="1" ht="15.75">
      <c r="A313" s="17"/>
    </row>
    <row r="314" s="4" customFormat="1" ht="15.75">
      <c r="A314" s="17"/>
    </row>
    <row r="315" s="4" customFormat="1" ht="15.75">
      <c r="A315" s="17"/>
    </row>
    <row r="316" s="4" customFormat="1" ht="15.75">
      <c r="A316" s="17"/>
    </row>
    <row r="317" s="4" customFormat="1" ht="15.75">
      <c r="A317" s="17"/>
    </row>
    <row r="318" s="4" customFormat="1" ht="15.75">
      <c r="A318" s="17"/>
    </row>
    <row r="319" s="4" customFormat="1" ht="15.75">
      <c r="A319" s="17"/>
    </row>
    <row r="320" s="4" customFormat="1" ht="15.75">
      <c r="A320" s="17"/>
    </row>
    <row r="321" s="4" customFormat="1" ht="15.75">
      <c r="A321" s="17"/>
    </row>
    <row r="322" s="4" customFormat="1" ht="15.75">
      <c r="A322" s="17"/>
    </row>
    <row r="323" s="4" customFormat="1" ht="15.75">
      <c r="A323" s="17"/>
    </row>
    <row r="324" s="4" customFormat="1" ht="15.75">
      <c r="A324" s="17"/>
    </row>
    <row r="325" s="4" customFormat="1" ht="15.75">
      <c r="A325" s="17"/>
    </row>
    <row r="326" s="4" customFormat="1" ht="15.75">
      <c r="A326" s="17"/>
    </row>
    <row r="327" s="4" customFormat="1" ht="15.75">
      <c r="A327" s="17"/>
    </row>
    <row r="328" s="4" customFormat="1" ht="15.75">
      <c r="A328" s="17"/>
    </row>
    <row r="329" s="4" customFormat="1" ht="15.75">
      <c r="A329" s="17"/>
    </row>
    <row r="330" s="4" customFormat="1" ht="15.75">
      <c r="A330" s="17"/>
    </row>
    <row r="331" s="4" customFormat="1" ht="15.75">
      <c r="A331" s="17"/>
    </row>
    <row r="332" s="4" customFormat="1" ht="15.75">
      <c r="A332" s="17"/>
    </row>
    <row r="333" s="4" customFormat="1" ht="15.75">
      <c r="A333" s="17"/>
    </row>
    <row r="334" s="4" customFormat="1" ht="15.75">
      <c r="A334" s="17"/>
    </row>
    <row r="335" s="4" customFormat="1" ht="15.75">
      <c r="A335" s="17"/>
    </row>
    <row r="336" s="4" customFormat="1" ht="15.75">
      <c r="A336" s="17"/>
    </row>
    <row r="337" s="4" customFormat="1" ht="15.75">
      <c r="A337" s="17"/>
    </row>
    <row r="338" s="4" customFormat="1" ht="15.75">
      <c r="A338" s="17"/>
    </row>
    <row r="339" s="4" customFormat="1" ht="15.75">
      <c r="A339" s="17"/>
    </row>
    <row r="340" s="4" customFormat="1" ht="15.75">
      <c r="A340" s="17"/>
    </row>
    <row r="341" s="4" customFormat="1" ht="15.75">
      <c r="A341" s="17"/>
    </row>
    <row r="342" s="4" customFormat="1" ht="15.75">
      <c r="A342" s="17"/>
    </row>
    <row r="343" s="4" customFormat="1" ht="15.75">
      <c r="A343" s="17"/>
    </row>
    <row r="344" s="4" customFormat="1" ht="15.75">
      <c r="A344" s="17"/>
    </row>
    <row r="345" s="4" customFormat="1" ht="15.75">
      <c r="A345" s="17"/>
    </row>
    <row r="346" s="4" customFormat="1" ht="15.75">
      <c r="A346" s="17"/>
    </row>
    <row r="347" s="4" customFormat="1" ht="15.75">
      <c r="A347" s="17"/>
    </row>
    <row r="348" s="4" customFormat="1" ht="15.75">
      <c r="A348" s="17"/>
    </row>
    <row r="349" s="4" customFormat="1" ht="15.75">
      <c r="A349" s="17"/>
    </row>
    <row r="350" s="4" customFormat="1" ht="15.75">
      <c r="A350" s="17"/>
    </row>
    <row r="351" s="4" customFormat="1" ht="15.75">
      <c r="A351" s="17"/>
    </row>
    <row r="352" s="4" customFormat="1" ht="15.75">
      <c r="A352" s="17"/>
    </row>
    <row r="353" s="4" customFormat="1" ht="15.75">
      <c r="A353" s="17"/>
    </row>
    <row r="354" s="4" customFormat="1" ht="15.75">
      <c r="A354" s="17"/>
    </row>
    <row r="355" s="4" customFormat="1" ht="15.75">
      <c r="A355" s="17"/>
    </row>
    <row r="356" s="4" customFormat="1" ht="15.75">
      <c r="A356" s="17"/>
    </row>
    <row r="357" s="4" customFormat="1" ht="15.75">
      <c r="A357" s="17"/>
    </row>
    <row r="358" s="4" customFormat="1" ht="15.75">
      <c r="A358" s="17"/>
    </row>
    <row r="359" s="4" customFormat="1" ht="15.75">
      <c r="A359" s="17"/>
    </row>
    <row r="360" s="4" customFormat="1" ht="15.75">
      <c r="A360" s="17"/>
    </row>
    <row r="361" s="4" customFormat="1" ht="15.75">
      <c r="A361" s="17"/>
    </row>
    <row r="362" s="4" customFormat="1" ht="15.75">
      <c r="A362" s="17"/>
    </row>
    <row r="363" s="4" customFormat="1" ht="15.75">
      <c r="A363" s="17"/>
    </row>
    <row r="364" s="4" customFormat="1" ht="15.75">
      <c r="A364" s="17"/>
    </row>
    <row r="365" s="4" customFormat="1" ht="15.75">
      <c r="A365" s="17"/>
    </row>
    <row r="366" s="4" customFormat="1" ht="15.75">
      <c r="A366" s="17"/>
    </row>
    <row r="367" s="4" customFormat="1" ht="15.75">
      <c r="A367" s="17"/>
    </row>
    <row r="368" s="4" customFormat="1" ht="15.75">
      <c r="A368" s="17"/>
    </row>
    <row r="369" s="4" customFormat="1" ht="15.75">
      <c r="A369" s="17"/>
    </row>
    <row r="370" s="4" customFormat="1" ht="15.75">
      <c r="A370" s="17"/>
    </row>
    <row r="371" s="4" customFormat="1" ht="15.75">
      <c r="A371" s="17"/>
    </row>
    <row r="372" s="4" customFormat="1" ht="15.75">
      <c r="A372" s="17"/>
    </row>
    <row r="373" s="4" customFormat="1" ht="15.75">
      <c r="A373" s="17"/>
    </row>
    <row r="374" s="4" customFormat="1" ht="15.75">
      <c r="A374" s="17"/>
    </row>
    <row r="375" s="4" customFormat="1" ht="15.75">
      <c r="A375" s="17"/>
    </row>
    <row r="376" s="4" customFormat="1" ht="15.75">
      <c r="A376" s="17"/>
    </row>
    <row r="377" s="4" customFormat="1" ht="15.75">
      <c r="A377" s="17"/>
    </row>
    <row r="378" s="4" customFormat="1" ht="15.75">
      <c r="A378" s="17"/>
    </row>
    <row r="379" s="4" customFormat="1" ht="15.75">
      <c r="A379" s="17"/>
    </row>
    <row r="380" s="4" customFormat="1" ht="15.75">
      <c r="A380" s="17"/>
    </row>
    <row r="381" s="4" customFormat="1" ht="15.75">
      <c r="A381" s="17"/>
    </row>
    <row r="382" s="4" customFormat="1" ht="15.75">
      <c r="A382" s="17"/>
    </row>
    <row r="383" s="4" customFormat="1" ht="15.75">
      <c r="A383" s="17"/>
    </row>
    <row r="384" s="4" customFormat="1" ht="15.75">
      <c r="A384" s="17"/>
    </row>
    <row r="385" s="4" customFormat="1" ht="15.75">
      <c r="A385" s="17"/>
    </row>
    <row r="386" s="4" customFormat="1" ht="15.75">
      <c r="A386" s="17"/>
    </row>
    <row r="387" s="4" customFormat="1" ht="15.75">
      <c r="A387" s="17"/>
    </row>
    <row r="388" s="4" customFormat="1" ht="15.75">
      <c r="A388" s="17"/>
    </row>
    <row r="389" s="4" customFormat="1" ht="15.75">
      <c r="A389" s="17"/>
    </row>
    <row r="390" s="4" customFormat="1" ht="15.75">
      <c r="A390" s="17"/>
    </row>
    <row r="391" s="4" customFormat="1" ht="15.75">
      <c r="A391" s="17"/>
    </row>
    <row r="392" s="4" customFormat="1" ht="15.75">
      <c r="A392" s="17"/>
    </row>
    <row r="393" s="4" customFormat="1" ht="15.75">
      <c r="A393" s="17"/>
    </row>
    <row r="394" s="4" customFormat="1" ht="15.75">
      <c r="A394" s="17"/>
    </row>
    <row r="395" s="4" customFormat="1" ht="15.75">
      <c r="A395" s="17"/>
    </row>
    <row r="396" s="4" customFormat="1" ht="15.75">
      <c r="A396" s="17"/>
    </row>
    <row r="397" s="4" customFormat="1" ht="15.75">
      <c r="A397" s="17"/>
    </row>
    <row r="398" s="4" customFormat="1" ht="15.75">
      <c r="A398" s="17"/>
    </row>
    <row r="399" s="4" customFormat="1" ht="15.75">
      <c r="A399" s="17"/>
    </row>
    <row r="400" s="4" customFormat="1" ht="15.75">
      <c r="A400" s="17"/>
    </row>
    <row r="401" s="4" customFormat="1" ht="15.75">
      <c r="A401" s="17"/>
    </row>
    <row r="402" s="4" customFormat="1" ht="15.75">
      <c r="A402" s="17"/>
    </row>
    <row r="403" s="4" customFormat="1" ht="15.75">
      <c r="A403" s="17"/>
    </row>
    <row r="404" s="4" customFormat="1" ht="15.75">
      <c r="A404" s="17"/>
    </row>
    <row r="405" s="4" customFormat="1" ht="15.75">
      <c r="A405" s="17"/>
    </row>
    <row r="406" s="4" customFormat="1" ht="15.75">
      <c r="A406" s="17"/>
    </row>
    <row r="407" s="4" customFormat="1" ht="15.75">
      <c r="A407" s="17"/>
    </row>
    <row r="408" s="4" customFormat="1" ht="15.75">
      <c r="A408" s="17"/>
    </row>
    <row r="409" s="4" customFormat="1" ht="15.75">
      <c r="A409" s="17"/>
    </row>
    <row r="410" s="4" customFormat="1" ht="15.75">
      <c r="A410" s="17"/>
    </row>
    <row r="411" s="4" customFormat="1" ht="15.75">
      <c r="A411" s="17"/>
    </row>
    <row r="412" s="4" customFormat="1" ht="15.75">
      <c r="A412" s="17"/>
    </row>
    <row r="413" s="4" customFormat="1" ht="15.75">
      <c r="A413" s="17"/>
    </row>
    <row r="414" s="4" customFormat="1" ht="15.75">
      <c r="A414" s="17"/>
    </row>
    <row r="415" s="4" customFormat="1" ht="15.75">
      <c r="A415" s="17"/>
    </row>
    <row r="416" s="4" customFormat="1" ht="15.75">
      <c r="A416" s="17"/>
    </row>
    <row r="417" s="4" customFormat="1" ht="15.75">
      <c r="A417" s="17"/>
    </row>
    <row r="418" s="4" customFormat="1" ht="15.75">
      <c r="A418" s="17"/>
    </row>
    <row r="419" s="4" customFormat="1" ht="15.75">
      <c r="A419" s="17"/>
    </row>
    <row r="420" s="4" customFormat="1" ht="15.75">
      <c r="A420" s="17"/>
    </row>
    <row r="421" s="4" customFormat="1" ht="15.75">
      <c r="A421" s="17"/>
    </row>
    <row r="422" s="4" customFormat="1" ht="15.75">
      <c r="A422" s="17"/>
    </row>
    <row r="423" s="4" customFormat="1" ht="15.75">
      <c r="A423" s="17"/>
    </row>
    <row r="424" s="4" customFormat="1" ht="15.75">
      <c r="A424" s="17"/>
    </row>
    <row r="425" s="4" customFormat="1" ht="15.75">
      <c r="A425" s="17"/>
    </row>
    <row r="426" s="4" customFormat="1" ht="15.75">
      <c r="A426" s="17"/>
    </row>
    <row r="427" s="4" customFormat="1" ht="15.75">
      <c r="A427" s="17"/>
    </row>
    <row r="428" s="4" customFormat="1" ht="15.75">
      <c r="A428" s="17"/>
    </row>
    <row r="429" s="4" customFormat="1" ht="15.75">
      <c r="A429" s="17"/>
    </row>
    <row r="430" s="4" customFormat="1" ht="15.75">
      <c r="A430" s="17"/>
    </row>
    <row r="431" s="4" customFormat="1" ht="15.75">
      <c r="A431" s="17"/>
    </row>
    <row r="432" s="4" customFormat="1" ht="15.75">
      <c r="A432" s="17"/>
    </row>
    <row r="433" s="4" customFormat="1" ht="15.75">
      <c r="A433" s="17"/>
    </row>
    <row r="434" s="4" customFormat="1" ht="15.75">
      <c r="A434" s="17"/>
    </row>
    <row r="435" s="4" customFormat="1" ht="15.75">
      <c r="A435" s="17"/>
    </row>
    <row r="436" s="4" customFormat="1" ht="15.75">
      <c r="A436" s="17"/>
    </row>
    <row r="437" s="4" customFormat="1" ht="15.75">
      <c r="A437" s="17"/>
    </row>
    <row r="438" s="4" customFormat="1" ht="15.75">
      <c r="A438" s="17"/>
    </row>
    <row r="439" s="4" customFormat="1" ht="15.75">
      <c r="A439" s="17"/>
    </row>
    <row r="440" s="4" customFormat="1" ht="15.75">
      <c r="A440" s="17"/>
    </row>
    <row r="441" s="4" customFormat="1" ht="15.75">
      <c r="A441" s="17"/>
    </row>
    <row r="442" s="4" customFormat="1" ht="15.75">
      <c r="A442" s="17"/>
    </row>
    <row r="443" s="4" customFormat="1" ht="15.75">
      <c r="A443" s="17"/>
    </row>
    <row r="444" s="4" customFormat="1" ht="15.75">
      <c r="A444" s="17"/>
    </row>
    <row r="445" s="4" customFormat="1" ht="15.75">
      <c r="A445" s="17"/>
    </row>
    <row r="446" s="4" customFormat="1" ht="15.75">
      <c r="A446" s="17"/>
    </row>
    <row r="447" s="4" customFormat="1" ht="15.75">
      <c r="A447" s="17"/>
    </row>
    <row r="448" s="4" customFormat="1" ht="15.75">
      <c r="A448" s="17"/>
    </row>
    <row r="449" s="4" customFormat="1" ht="15.75">
      <c r="A449" s="17"/>
    </row>
    <row r="450" s="4" customFormat="1" ht="15.75">
      <c r="A450" s="17"/>
    </row>
    <row r="451" s="4" customFormat="1" ht="15.75">
      <c r="A451" s="17"/>
    </row>
    <row r="452" s="4" customFormat="1" ht="15.75">
      <c r="A452" s="17"/>
    </row>
    <row r="453" s="4" customFormat="1" ht="15.75">
      <c r="A453" s="17"/>
    </row>
    <row r="454" s="4" customFormat="1" ht="15.75">
      <c r="A454" s="17"/>
    </row>
    <row r="455" s="4" customFormat="1" ht="15.75">
      <c r="A455" s="17"/>
    </row>
    <row r="456" s="4" customFormat="1" ht="15.75">
      <c r="A456" s="17"/>
    </row>
    <row r="457" s="4" customFormat="1" ht="15.75">
      <c r="A457" s="17"/>
    </row>
    <row r="458" s="4" customFormat="1" ht="15.75">
      <c r="A458" s="17"/>
    </row>
    <row r="459" s="4" customFormat="1" ht="15.75">
      <c r="A459" s="17"/>
    </row>
    <row r="460" s="4" customFormat="1" ht="15.75">
      <c r="A460" s="17"/>
    </row>
    <row r="461" s="4" customFormat="1" ht="15.75">
      <c r="A461" s="17"/>
    </row>
    <row r="462" s="4" customFormat="1" ht="15.75">
      <c r="A462" s="17"/>
    </row>
    <row r="463" s="4" customFormat="1" ht="15.75">
      <c r="A463" s="17"/>
    </row>
    <row r="464" s="4" customFormat="1" ht="15.75">
      <c r="A464" s="17"/>
    </row>
    <row r="465" s="4" customFormat="1" ht="15.75">
      <c r="A465" s="17"/>
    </row>
    <row r="466" s="4" customFormat="1" ht="15.75">
      <c r="A466" s="17"/>
    </row>
    <row r="467" s="4" customFormat="1" ht="15.75">
      <c r="A467" s="17"/>
    </row>
    <row r="468" s="4" customFormat="1" ht="15.75">
      <c r="A468" s="17"/>
    </row>
    <row r="469" s="4" customFormat="1" ht="15.75">
      <c r="A469" s="17"/>
    </row>
    <row r="470" s="4" customFormat="1" ht="15.75">
      <c r="A470" s="17"/>
    </row>
    <row r="471" s="4" customFormat="1" ht="15.75">
      <c r="A471" s="17"/>
    </row>
    <row r="472" s="4" customFormat="1" ht="15.75">
      <c r="A472" s="17"/>
    </row>
    <row r="473" s="4" customFormat="1" ht="15.75">
      <c r="A473" s="17"/>
    </row>
    <row r="474" s="4" customFormat="1" ht="15.75">
      <c r="A474" s="17"/>
    </row>
    <row r="475" s="4" customFormat="1" ht="15.75">
      <c r="A475" s="17"/>
    </row>
    <row r="476" s="4" customFormat="1" ht="15.75">
      <c r="A476" s="17"/>
    </row>
    <row r="477" s="4" customFormat="1" ht="15.75">
      <c r="A477" s="17"/>
    </row>
    <row r="478" s="4" customFormat="1" ht="15.75">
      <c r="A478" s="17"/>
    </row>
    <row r="479" s="4" customFormat="1" ht="15.75">
      <c r="A479" s="17"/>
    </row>
    <row r="480" s="4" customFormat="1" ht="15.75">
      <c r="A480" s="17"/>
    </row>
    <row r="481" s="4" customFormat="1" ht="15.75">
      <c r="A481" s="17"/>
    </row>
    <row r="482" s="4" customFormat="1" ht="15.75">
      <c r="A482" s="17"/>
    </row>
    <row r="483" s="4" customFormat="1" ht="15.75">
      <c r="A483" s="17"/>
    </row>
    <row r="484" s="4" customFormat="1" ht="15.75">
      <c r="A484" s="17"/>
    </row>
    <row r="485" s="4" customFormat="1" ht="15.75">
      <c r="A485" s="17"/>
    </row>
    <row r="486" s="4" customFormat="1" ht="15.75">
      <c r="A486" s="17"/>
    </row>
    <row r="487" s="4" customFormat="1" ht="15.75">
      <c r="A487" s="17"/>
    </row>
    <row r="488" s="4" customFormat="1" ht="15.75">
      <c r="A488" s="17"/>
    </row>
    <row r="489" s="4" customFormat="1" ht="15.75">
      <c r="A489" s="17"/>
    </row>
    <row r="490" s="4" customFormat="1" ht="15.75">
      <c r="A490" s="17"/>
    </row>
    <row r="491" s="4" customFormat="1" ht="15.75">
      <c r="A491" s="17"/>
    </row>
    <row r="492" s="4" customFormat="1" ht="15.75">
      <c r="A492" s="17"/>
    </row>
    <row r="493" s="4" customFormat="1" ht="15.75">
      <c r="A493" s="17"/>
    </row>
    <row r="494" s="4" customFormat="1" ht="15.75">
      <c r="A494" s="17"/>
    </row>
    <row r="495" s="4" customFormat="1" ht="15.75">
      <c r="A495" s="17"/>
    </row>
    <row r="496" s="4" customFormat="1" ht="15.75">
      <c r="A496" s="17"/>
    </row>
    <row r="497" s="4" customFormat="1" ht="15.75">
      <c r="A497" s="17"/>
    </row>
    <row r="498" s="4" customFormat="1" ht="15.75">
      <c r="A498" s="17"/>
    </row>
    <row r="499" s="4" customFormat="1" ht="15.75">
      <c r="A499" s="17"/>
    </row>
    <row r="500" s="4" customFormat="1" ht="15.75">
      <c r="A500" s="17"/>
    </row>
    <row r="501" s="4" customFormat="1" ht="15.75">
      <c r="A501" s="17"/>
    </row>
    <row r="502" s="4" customFormat="1" ht="15.75">
      <c r="A502" s="17"/>
    </row>
    <row r="503" s="4" customFormat="1" ht="15.75">
      <c r="A503" s="17"/>
    </row>
    <row r="504" s="4" customFormat="1" ht="15.75">
      <c r="A504" s="17"/>
    </row>
    <row r="505" s="4" customFormat="1" ht="15.75">
      <c r="A505" s="17"/>
    </row>
    <row r="506" s="4" customFormat="1" ht="15.75">
      <c r="A506" s="17"/>
    </row>
    <row r="507" s="4" customFormat="1" ht="15.75">
      <c r="A507" s="17"/>
    </row>
    <row r="508" s="4" customFormat="1" ht="15.75">
      <c r="A508" s="17"/>
    </row>
    <row r="509" s="4" customFormat="1" ht="15.75">
      <c r="A509" s="17"/>
    </row>
    <row r="510" s="4" customFormat="1" ht="15.75">
      <c r="A510" s="17"/>
    </row>
    <row r="511" s="4" customFormat="1" ht="15.75">
      <c r="A511" s="17"/>
    </row>
    <row r="512" s="4" customFormat="1" ht="15.75">
      <c r="A512" s="17"/>
    </row>
    <row r="513" s="4" customFormat="1" ht="15.75">
      <c r="A513" s="17"/>
    </row>
    <row r="514" s="4" customFormat="1" ht="15.75">
      <c r="A514" s="17"/>
    </row>
    <row r="515" s="4" customFormat="1" ht="15.75">
      <c r="A515" s="17"/>
    </row>
    <row r="516" s="4" customFormat="1" ht="15.75">
      <c r="A516" s="17"/>
    </row>
    <row r="517" s="4" customFormat="1" ht="15.75">
      <c r="A517" s="17"/>
    </row>
    <row r="518" s="4" customFormat="1" ht="15.75">
      <c r="A518" s="17"/>
    </row>
    <row r="519" s="4" customFormat="1" ht="15.75">
      <c r="A519" s="17"/>
    </row>
    <row r="520" s="4" customFormat="1" ht="15.75">
      <c r="A520" s="17"/>
    </row>
    <row r="521" s="4" customFormat="1" ht="15.75">
      <c r="A521" s="17"/>
    </row>
    <row r="522" s="4" customFormat="1" ht="15.75">
      <c r="A522" s="17"/>
    </row>
    <row r="523" s="4" customFormat="1" ht="15.75">
      <c r="A523" s="17"/>
    </row>
    <row r="524" s="4" customFormat="1" ht="15.75">
      <c r="A524" s="17"/>
    </row>
    <row r="525" s="4" customFormat="1" ht="15.75">
      <c r="A525" s="17"/>
    </row>
    <row r="526" s="4" customFormat="1" ht="15.75">
      <c r="A526" s="17"/>
    </row>
    <row r="527" s="4" customFormat="1" ht="15.75">
      <c r="A527" s="17"/>
    </row>
    <row r="528" s="4" customFormat="1" ht="15.75">
      <c r="A528" s="17"/>
    </row>
    <row r="529" s="4" customFormat="1" ht="15.75">
      <c r="A529" s="17"/>
    </row>
    <row r="530" s="4" customFormat="1" ht="15.75">
      <c r="A530" s="17"/>
    </row>
    <row r="531" s="4" customFormat="1" ht="15.75">
      <c r="A531" s="17"/>
    </row>
    <row r="532" s="4" customFormat="1" ht="15.75">
      <c r="A532" s="17"/>
    </row>
    <row r="533" s="4" customFormat="1" ht="15.75">
      <c r="A533" s="17"/>
    </row>
    <row r="534" s="4" customFormat="1" ht="15.75">
      <c r="A534" s="17"/>
    </row>
    <row r="535" s="4" customFormat="1" ht="15.75">
      <c r="A535" s="17"/>
    </row>
    <row r="536" s="4" customFormat="1" ht="15.75">
      <c r="A536" s="17"/>
    </row>
    <row r="537" s="4" customFormat="1" ht="15.75">
      <c r="A537" s="17"/>
    </row>
    <row r="538" s="4" customFormat="1" ht="15.75">
      <c r="A538" s="17"/>
    </row>
    <row r="539" s="4" customFormat="1" ht="15.75">
      <c r="A539" s="17"/>
    </row>
    <row r="540" s="4" customFormat="1" ht="15.75">
      <c r="A540" s="17"/>
    </row>
    <row r="541" s="4" customFormat="1" ht="15.75">
      <c r="A541" s="17"/>
    </row>
    <row r="542" s="4" customFormat="1" ht="15.75">
      <c r="A542" s="17"/>
    </row>
    <row r="543" s="4" customFormat="1" ht="15.75">
      <c r="A543" s="17"/>
    </row>
    <row r="544" s="4" customFormat="1" ht="15.75">
      <c r="A544" s="17"/>
    </row>
    <row r="545" s="4" customFormat="1" ht="15.75">
      <c r="A545" s="17"/>
    </row>
    <row r="546" s="4" customFormat="1" ht="15.75">
      <c r="A546" s="17"/>
    </row>
    <row r="547" s="4" customFormat="1" ht="15.75">
      <c r="A547" s="17"/>
    </row>
    <row r="548" s="4" customFormat="1" ht="15.75">
      <c r="A548" s="17"/>
    </row>
    <row r="549" s="4" customFormat="1" ht="15.75">
      <c r="A549" s="17"/>
    </row>
    <row r="550" s="4" customFormat="1" ht="15.75">
      <c r="A550" s="17"/>
    </row>
    <row r="551" s="4" customFormat="1" ht="15.75">
      <c r="A551" s="17"/>
    </row>
    <row r="552" s="4" customFormat="1" ht="15.75">
      <c r="A552" s="17"/>
    </row>
    <row r="553" s="4" customFormat="1" ht="15.75">
      <c r="A553" s="17"/>
    </row>
    <row r="554" s="4" customFormat="1" ht="15.75">
      <c r="A554" s="17"/>
    </row>
    <row r="555" s="4" customFormat="1" ht="15.75">
      <c r="A555" s="17"/>
    </row>
    <row r="556" s="4" customFormat="1" ht="15.75">
      <c r="A556" s="17"/>
    </row>
    <row r="557" s="4" customFormat="1" ht="15.75">
      <c r="A557" s="17"/>
    </row>
    <row r="558" s="4" customFormat="1" ht="15.75">
      <c r="A558" s="17"/>
    </row>
    <row r="559" s="4" customFormat="1" ht="15.75">
      <c r="A559" s="17"/>
    </row>
    <row r="560" s="4" customFormat="1" ht="15.75">
      <c r="A560" s="17"/>
    </row>
    <row r="561" s="4" customFormat="1" ht="15.75">
      <c r="A561" s="17"/>
    </row>
    <row r="562" s="4" customFormat="1" ht="15.75">
      <c r="A562" s="17"/>
    </row>
    <row r="563" s="4" customFormat="1" ht="15.75">
      <c r="A563" s="17"/>
    </row>
    <row r="564" s="4" customFormat="1" ht="15.75">
      <c r="A564" s="17"/>
    </row>
    <row r="565" s="4" customFormat="1" ht="15.75">
      <c r="A565" s="17"/>
    </row>
    <row r="566" s="4" customFormat="1" ht="15.75">
      <c r="A566" s="17"/>
    </row>
    <row r="567" s="4" customFormat="1" ht="15.75">
      <c r="A567" s="17"/>
    </row>
    <row r="568" s="4" customFormat="1" ht="15.75">
      <c r="A568" s="17"/>
    </row>
    <row r="569" s="4" customFormat="1" ht="15.75">
      <c r="A569" s="17"/>
    </row>
    <row r="570" s="4" customFormat="1" ht="15.75">
      <c r="A570" s="17"/>
    </row>
    <row r="571" s="4" customFormat="1" ht="15.75">
      <c r="A571" s="17"/>
    </row>
    <row r="572" s="4" customFormat="1" ht="15.75">
      <c r="A572" s="17"/>
    </row>
    <row r="573" s="4" customFormat="1" ht="15.75">
      <c r="A573" s="17"/>
    </row>
    <row r="574" s="4" customFormat="1" ht="15.75">
      <c r="A574" s="17"/>
    </row>
    <row r="575" s="4" customFormat="1" ht="15.75">
      <c r="A575" s="17"/>
    </row>
    <row r="576" s="4" customFormat="1" ht="15.75">
      <c r="A576" s="17"/>
    </row>
    <row r="577" s="4" customFormat="1" ht="15.75">
      <c r="A577" s="17"/>
    </row>
    <row r="578" s="4" customFormat="1" ht="15.75">
      <c r="A578" s="17"/>
    </row>
    <row r="579" s="4" customFormat="1" ht="15.75">
      <c r="A579" s="17"/>
    </row>
    <row r="580" s="4" customFormat="1" ht="15.75">
      <c r="A580" s="17"/>
    </row>
    <row r="581" s="4" customFormat="1" ht="15.75">
      <c r="A581" s="17"/>
    </row>
    <row r="582" s="4" customFormat="1" ht="15.75">
      <c r="A582" s="17"/>
    </row>
    <row r="583" s="4" customFormat="1" ht="15.75">
      <c r="A583" s="17"/>
    </row>
    <row r="584" s="4" customFormat="1" ht="15.75">
      <c r="A584" s="17"/>
    </row>
    <row r="585" s="4" customFormat="1" ht="15.75">
      <c r="A585" s="17"/>
    </row>
    <row r="586" s="4" customFormat="1" ht="15.75">
      <c r="A586" s="17"/>
    </row>
    <row r="587" s="4" customFormat="1" ht="15.75">
      <c r="A587" s="17"/>
    </row>
    <row r="588" s="4" customFormat="1" ht="15.75">
      <c r="A588" s="17"/>
    </row>
    <row r="589" s="4" customFormat="1" ht="15.75">
      <c r="A589" s="17"/>
    </row>
    <row r="590" s="4" customFormat="1" ht="15.75">
      <c r="A590" s="17"/>
    </row>
    <row r="591" s="4" customFormat="1" ht="15.75">
      <c r="A591" s="17"/>
    </row>
    <row r="592" s="4" customFormat="1" ht="15.75">
      <c r="A592" s="17"/>
    </row>
    <row r="593" s="4" customFormat="1" ht="15.75">
      <c r="A593" s="17"/>
    </row>
    <row r="594" s="4" customFormat="1" ht="15.75">
      <c r="A594" s="17"/>
    </row>
    <row r="595" s="4" customFormat="1" ht="15.75">
      <c r="A595" s="17"/>
    </row>
    <row r="596" s="4" customFormat="1" ht="15.75">
      <c r="A596" s="17"/>
    </row>
    <row r="597" s="4" customFormat="1" ht="15.75">
      <c r="A597" s="17"/>
    </row>
    <row r="598" s="4" customFormat="1" ht="15.75">
      <c r="A598" s="17"/>
    </row>
    <row r="599" s="4" customFormat="1" ht="15.75">
      <c r="A599" s="17"/>
    </row>
    <row r="600" s="4" customFormat="1" ht="15.75">
      <c r="A600" s="17"/>
    </row>
    <row r="601" s="4" customFormat="1" ht="15.75">
      <c r="A601" s="17"/>
    </row>
    <row r="602" s="4" customFormat="1" ht="15.75">
      <c r="A602" s="17"/>
    </row>
    <row r="603" s="4" customFormat="1" ht="15.75">
      <c r="A603" s="17"/>
    </row>
    <row r="604" s="4" customFormat="1" ht="15.75">
      <c r="A604" s="17"/>
    </row>
    <row r="605" s="4" customFormat="1" ht="15.75">
      <c r="A605" s="17"/>
    </row>
    <row r="606" s="4" customFormat="1" ht="15.75">
      <c r="A606" s="17"/>
    </row>
    <row r="607" s="4" customFormat="1" ht="15.75">
      <c r="A607" s="17"/>
    </row>
    <row r="608" s="4" customFormat="1" ht="15.75">
      <c r="A608" s="17"/>
    </row>
    <row r="609" s="4" customFormat="1" ht="15.75">
      <c r="A609" s="17"/>
    </row>
    <row r="610" s="4" customFormat="1" ht="15.75">
      <c r="A610" s="17"/>
    </row>
    <row r="611" s="4" customFormat="1" ht="15.75">
      <c r="A611" s="17"/>
    </row>
    <row r="612" s="4" customFormat="1" ht="15.75">
      <c r="A612" s="17"/>
    </row>
    <row r="613" s="4" customFormat="1" ht="15.75">
      <c r="A613" s="17"/>
    </row>
    <row r="614" s="4" customFormat="1" ht="15.75">
      <c r="A614" s="17"/>
    </row>
    <row r="615" s="4" customFormat="1" ht="15.75">
      <c r="A615" s="17"/>
    </row>
    <row r="616" s="4" customFormat="1" ht="15.75">
      <c r="A616" s="17"/>
    </row>
    <row r="617" s="4" customFormat="1" ht="15.75">
      <c r="A617" s="17"/>
    </row>
    <row r="618" s="4" customFormat="1" ht="15.75">
      <c r="A618" s="17"/>
    </row>
    <row r="619" s="4" customFormat="1" ht="15.75">
      <c r="A619" s="17"/>
    </row>
    <row r="620" s="4" customFormat="1" ht="15.75">
      <c r="A620" s="17"/>
    </row>
    <row r="621" s="4" customFormat="1" ht="15.75">
      <c r="A621" s="17"/>
    </row>
    <row r="622" s="4" customFormat="1" ht="15.75">
      <c r="A622" s="17"/>
    </row>
    <row r="623" s="4" customFormat="1" ht="15.75">
      <c r="A623" s="17"/>
    </row>
    <row r="624" s="4" customFormat="1" ht="15.75">
      <c r="A624" s="17"/>
    </row>
    <row r="625" s="4" customFormat="1" ht="15.75">
      <c r="A625" s="17"/>
    </row>
    <row r="626" s="4" customFormat="1" ht="15.75">
      <c r="A626" s="17"/>
    </row>
    <row r="627" s="4" customFormat="1" ht="15.75">
      <c r="A627" s="17"/>
    </row>
    <row r="628" s="4" customFormat="1" ht="15.75">
      <c r="A628" s="17"/>
    </row>
    <row r="629" s="4" customFormat="1" ht="15.75">
      <c r="A629" s="17"/>
    </row>
    <row r="630" s="4" customFormat="1" ht="15.75">
      <c r="A630" s="17"/>
    </row>
    <row r="631" s="4" customFormat="1" ht="15.75">
      <c r="A631" s="17"/>
    </row>
    <row r="632" s="4" customFormat="1" ht="15.75">
      <c r="A632" s="17"/>
    </row>
    <row r="633" s="4" customFormat="1" ht="15.75">
      <c r="A633" s="17"/>
    </row>
    <row r="634" s="4" customFormat="1" ht="15.75">
      <c r="A634" s="17"/>
    </row>
    <row r="635" s="4" customFormat="1" ht="15.75">
      <c r="A635" s="17"/>
    </row>
    <row r="636" s="4" customFormat="1" ht="15.75">
      <c r="A636" s="17"/>
    </row>
    <row r="637" s="4" customFormat="1" ht="15.75">
      <c r="A637" s="17"/>
    </row>
    <row r="638" s="4" customFormat="1" ht="15.75">
      <c r="A638" s="17"/>
    </row>
    <row r="639" s="4" customFormat="1" ht="15.75">
      <c r="A639" s="17"/>
    </row>
    <row r="640" s="4" customFormat="1" ht="15.75">
      <c r="A640" s="17"/>
    </row>
    <row r="641" s="4" customFormat="1" ht="15.75">
      <c r="A641" s="17"/>
    </row>
    <row r="642" s="4" customFormat="1" ht="15.75">
      <c r="A642" s="17"/>
    </row>
    <row r="643" s="4" customFormat="1" ht="15.75">
      <c r="A643" s="17"/>
    </row>
    <row r="644" s="4" customFormat="1" ht="15.75">
      <c r="A644" s="17"/>
    </row>
    <row r="645" s="4" customFormat="1" ht="15.75">
      <c r="A645" s="17"/>
    </row>
    <row r="646" s="4" customFormat="1" ht="15.75">
      <c r="A646" s="17"/>
    </row>
    <row r="647" s="4" customFormat="1" ht="15.75">
      <c r="A647" s="17"/>
    </row>
    <row r="648" s="4" customFormat="1" ht="15.75">
      <c r="A648" s="17"/>
    </row>
    <row r="649" s="4" customFormat="1" ht="15.75">
      <c r="A649" s="17"/>
    </row>
    <row r="650" s="4" customFormat="1" ht="15.75">
      <c r="A650" s="17"/>
    </row>
    <row r="651" s="4" customFormat="1" ht="15.75">
      <c r="A651" s="17"/>
    </row>
    <row r="652" s="4" customFormat="1" ht="15.75">
      <c r="A652" s="17"/>
    </row>
    <row r="653" s="4" customFormat="1" ht="15.75">
      <c r="A653" s="17"/>
    </row>
    <row r="654" s="4" customFormat="1" ht="15.75">
      <c r="A654" s="17"/>
    </row>
    <row r="655" s="4" customFormat="1" ht="15.75">
      <c r="A655" s="17"/>
    </row>
    <row r="656" s="4" customFormat="1" ht="15.75">
      <c r="A656" s="17"/>
    </row>
    <row r="657" s="4" customFormat="1" ht="15.75">
      <c r="A657" s="17"/>
    </row>
    <row r="658" s="4" customFormat="1" ht="15.75">
      <c r="A658" s="17"/>
    </row>
    <row r="659" s="4" customFormat="1" ht="15.75">
      <c r="A659" s="17"/>
    </row>
    <row r="660" s="4" customFormat="1" ht="15.75">
      <c r="A660" s="17"/>
    </row>
    <row r="661" s="4" customFormat="1" ht="15.75">
      <c r="A661" s="17"/>
    </row>
    <row r="662" s="4" customFormat="1" ht="15.75">
      <c r="A662" s="17"/>
    </row>
    <row r="663" s="4" customFormat="1" ht="15.75">
      <c r="A663" s="17"/>
    </row>
    <row r="664" s="4" customFormat="1" ht="15.75">
      <c r="A664" s="17"/>
    </row>
    <row r="665" s="4" customFormat="1" ht="15.75">
      <c r="A665" s="17"/>
    </row>
    <row r="666" s="4" customFormat="1" ht="15.75">
      <c r="A666" s="17"/>
    </row>
    <row r="667" s="4" customFormat="1" ht="15.75">
      <c r="A667" s="17"/>
    </row>
    <row r="668" s="4" customFormat="1" ht="15.75">
      <c r="A668" s="17"/>
    </row>
    <row r="669" s="4" customFormat="1" ht="15.75">
      <c r="A669" s="17"/>
    </row>
    <row r="670" s="4" customFormat="1" ht="15.75">
      <c r="A670" s="17"/>
    </row>
    <row r="671" s="4" customFormat="1" ht="15.75">
      <c r="A671" s="17"/>
    </row>
    <row r="672" s="4" customFormat="1" ht="15.75">
      <c r="A672" s="17"/>
    </row>
    <row r="673" s="4" customFormat="1" ht="15.75">
      <c r="A673" s="17"/>
    </row>
    <row r="674" s="4" customFormat="1" ht="15.75">
      <c r="A674" s="17"/>
    </row>
    <row r="675" s="4" customFormat="1" ht="15.75">
      <c r="A675" s="17"/>
    </row>
    <row r="676" s="4" customFormat="1" ht="15.75">
      <c r="A676" s="17"/>
    </row>
    <row r="677" s="4" customFormat="1" ht="15.75">
      <c r="A677" s="17"/>
    </row>
    <row r="678" s="4" customFormat="1" ht="15.75">
      <c r="A678" s="17"/>
    </row>
    <row r="679" s="4" customFormat="1" ht="15.75">
      <c r="A679" s="17"/>
    </row>
    <row r="680" s="4" customFormat="1" ht="15.75">
      <c r="A680" s="17"/>
    </row>
    <row r="681" s="4" customFormat="1" ht="15.75">
      <c r="A681" s="17"/>
    </row>
    <row r="682" s="4" customFormat="1" ht="15.75">
      <c r="A682" s="17"/>
    </row>
    <row r="683" s="4" customFormat="1" ht="15.75">
      <c r="A683" s="17"/>
    </row>
    <row r="684" s="4" customFormat="1" ht="15.75">
      <c r="A684" s="17"/>
    </row>
    <row r="685" s="4" customFormat="1" ht="15.75">
      <c r="A685" s="17"/>
    </row>
    <row r="686" s="4" customFormat="1" ht="15.75">
      <c r="A686" s="17"/>
    </row>
    <row r="687" s="4" customFormat="1" ht="15.75">
      <c r="A687" s="17"/>
    </row>
    <row r="688" s="4" customFormat="1" ht="15.75">
      <c r="A688" s="17"/>
    </row>
    <row r="689" s="4" customFormat="1" ht="15.75">
      <c r="A689" s="17"/>
    </row>
    <row r="690" s="4" customFormat="1" ht="15.75">
      <c r="A690" s="17"/>
    </row>
    <row r="691" s="4" customFormat="1" ht="15.75">
      <c r="A691" s="17"/>
    </row>
    <row r="692" s="4" customFormat="1" ht="15.75">
      <c r="A692" s="17"/>
    </row>
    <row r="693" spans="7:20" ht="15.75"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</row>
    <row r="694" spans="7:20" ht="15.75"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</row>
  </sheetData>
  <mergeCells count="2">
    <mergeCell ref="A3:AE3"/>
    <mergeCell ref="A2:AE2"/>
  </mergeCells>
  <printOptions/>
  <pageMargins left="0.36" right="0.28" top="0.43" bottom="0.32" header="0.36" footer="0.24"/>
  <pageSetup horizontalDpi="300" verticalDpi="300" orientation="portrait" paperSize="5" scale="8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2"/>
  <sheetViews>
    <sheetView workbookViewId="0" topLeftCell="A52">
      <selection activeCell="B64" sqref="B64"/>
    </sheetView>
  </sheetViews>
  <sheetFormatPr defaultColWidth="8.88671875" defaultRowHeight="15.75"/>
  <cols>
    <col min="1" max="1" width="16.6640625" style="110" customWidth="1"/>
    <col min="2" max="2" width="10.88671875" style="110" customWidth="1"/>
    <col min="3" max="3" width="9.6640625" style="110" customWidth="1"/>
    <col min="4" max="4" width="10.88671875" style="110" customWidth="1"/>
    <col min="5" max="5" width="10.21484375" style="110" customWidth="1"/>
    <col min="6" max="6" width="10.3359375" style="149" customWidth="1"/>
    <col min="7" max="7" width="10.10546875" style="149" customWidth="1"/>
    <col min="8" max="8" width="11.6640625" style="149" customWidth="1"/>
    <col min="9" max="9" width="10.88671875" style="149" customWidth="1"/>
    <col min="10" max="12" width="8.88671875" style="110" customWidth="1"/>
    <col min="13" max="13" width="8.99609375" style="110" bestFit="1" customWidth="1"/>
    <col min="14" max="16384" width="8.88671875" style="110" customWidth="1"/>
  </cols>
  <sheetData>
    <row r="1" ht="18">
      <c r="A1" s="361" t="s">
        <v>0</v>
      </c>
    </row>
    <row r="2" ht="15.75">
      <c r="A2" s="266" t="s">
        <v>209</v>
      </c>
    </row>
    <row r="3" ht="16.5" thickBot="1">
      <c r="A3" s="266" t="s">
        <v>222</v>
      </c>
    </row>
    <row r="4" spans="1:9" ht="16.5" thickBot="1">
      <c r="A4" s="379"/>
      <c r="B4" s="933" t="s">
        <v>210</v>
      </c>
      <c r="C4" s="934"/>
      <c r="D4" s="935"/>
      <c r="E4" s="933" t="s">
        <v>211</v>
      </c>
      <c r="F4" s="934"/>
      <c r="G4" s="934"/>
      <c r="H4" s="935"/>
      <c r="I4" s="392"/>
    </row>
    <row r="5" spans="1:9" ht="15.75">
      <c r="A5" s="380"/>
      <c r="B5" s="387" t="s">
        <v>223</v>
      </c>
      <c r="C5" s="363"/>
      <c r="D5" s="383"/>
      <c r="E5" s="388"/>
      <c r="F5" s="363"/>
      <c r="G5" s="363"/>
      <c r="H5" s="383"/>
      <c r="I5" s="393" t="s">
        <v>212</v>
      </c>
    </row>
    <row r="6" spans="1:9" ht="15.75">
      <c r="A6" s="380"/>
      <c r="B6" s="382"/>
      <c r="C6" s="363" t="s">
        <v>213</v>
      </c>
      <c r="D6" s="383" t="s">
        <v>76</v>
      </c>
      <c r="E6" s="382" t="s">
        <v>214</v>
      </c>
      <c r="F6" s="363" t="s">
        <v>215</v>
      </c>
      <c r="G6" s="363" t="s">
        <v>216</v>
      </c>
      <c r="H6" s="383" t="s">
        <v>76</v>
      </c>
      <c r="I6" s="393" t="s">
        <v>76</v>
      </c>
    </row>
    <row r="7" spans="1:9" ht="16.5" thickBot="1">
      <c r="A7" s="381" t="s">
        <v>217</v>
      </c>
      <c r="B7" s="384">
        <v>1</v>
      </c>
      <c r="C7" s="385">
        <v>2</v>
      </c>
      <c r="D7" s="386" t="s">
        <v>218</v>
      </c>
      <c r="E7" s="384">
        <v>4</v>
      </c>
      <c r="F7" s="385">
        <v>5</v>
      </c>
      <c r="G7" s="385">
        <v>6</v>
      </c>
      <c r="H7" s="386" t="s">
        <v>219</v>
      </c>
      <c r="I7" s="394" t="s">
        <v>220</v>
      </c>
    </row>
    <row r="8" spans="1:9" ht="15">
      <c r="A8" s="148" t="s">
        <v>90</v>
      </c>
      <c r="B8" s="364">
        <f>1386.16-22.59-18.86+6.17-12.54</f>
        <v>1338.3400000000004</v>
      </c>
      <c r="C8" s="364">
        <f>303.99+0.02+9.16+0.01+0.36+3-2.36</f>
        <v>314.18</v>
      </c>
      <c r="D8" s="371">
        <f>+B8+C8</f>
        <v>1652.5200000000004</v>
      </c>
      <c r="E8" s="364">
        <v>132.79</v>
      </c>
      <c r="F8" s="365">
        <v>25.5</v>
      </c>
      <c r="G8" s="365">
        <v>27.07</v>
      </c>
      <c r="H8" s="374">
        <f>+C8+E8+F8+G8</f>
        <v>499.54</v>
      </c>
      <c r="I8" s="376">
        <f>+B8+H8</f>
        <v>1837.8800000000003</v>
      </c>
    </row>
    <row r="9" spans="1:9" ht="15">
      <c r="A9" s="148" t="s">
        <v>238</v>
      </c>
      <c r="B9" s="366">
        <f>969.92-22.59+55.1-25.23+6.17+0.56-12.54-0.63+12.55</f>
        <v>983.3099999999998</v>
      </c>
      <c r="C9" s="366">
        <f>312.5+0.27-2.36</f>
        <v>310.40999999999997</v>
      </c>
      <c r="D9" s="372">
        <f>+B9+C9</f>
        <v>1293.7199999999998</v>
      </c>
      <c r="E9" s="366">
        <v>50.67</v>
      </c>
      <c r="F9" s="367">
        <f>8+0.22+31.65+5.06+1.09</f>
        <v>46.02</v>
      </c>
      <c r="G9" s="367">
        <f>9.15-0.6</f>
        <v>8.55</v>
      </c>
      <c r="H9" s="375">
        <f>+C9+E9+F9+G9</f>
        <v>415.65</v>
      </c>
      <c r="I9" s="377">
        <f>+B9+H9</f>
        <v>1398.9599999999998</v>
      </c>
    </row>
    <row r="10" spans="1:9" ht="15.75">
      <c r="A10" s="148"/>
      <c r="B10" s="389">
        <f aca="true" t="shared" si="0" ref="B10:I10">+B8-B9</f>
        <v>355.03000000000054</v>
      </c>
      <c r="C10" s="389">
        <f t="shared" si="0"/>
        <v>3.7700000000000387</v>
      </c>
      <c r="D10" s="390">
        <f t="shared" si="0"/>
        <v>358.80000000000064</v>
      </c>
      <c r="E10" s="389">
        <f t="shared" si="0"/>
        <v>82.11999999999999</v>
      </c>
      <c r="F10" s="389">
        <f t="shared" si="0"/>
        <v>-20.520000000000003</v>
      </c>
      <c r="G10" s="389">
        <f t="shared" si="0"/>
        <v>18.52</v>
      </c>
      <c r="H10" s="390">
        <f t="shared" si="0"/>
        <v>83.89000000000004</v>
      </c>
      <c r="I10" s="391">
        <f t="shared" si="0"/>
        <v>438.9200000000005</v>
      </c>
    </row>
    <row r="11" spans="1:9" ht="15">
      <c r="A11" s="148" t="s">
        <v>239</v>
      </c>
      <c r="B11" s="366">
        <v>0</v>
      </c>
      <c r="C11" s="366">
        <v>55.1</v>
      </c>
      <c r="D11" s="372">
        <f>+B11+C11</f>
        <v>55.1</v>
      </c>
      <c r="E11" s="366">
        <v>0.28</v>
      </c>
      <c r="F11" s="367">
        <v>1.86</v>
      </c>
      <c r="G11" s="367">
        <v>11.22</v>
      </c>
      <c r="H11" s="375">
        <f>+C11+E11+F11+G11</f>
        <v>68.46000000000001</v>
      </c>
      <c r="I11" s="377">
        <f>+B11+H11</f>
        <v>68.46000000000001</v>
      </c>
    </row>
    <row r="12" spans="1:9" ht="15.75">
      <c r="A12" s="362" t="s">
        <v>221</v>
      </c>
      <c r="B12" s="389">
        <f aca="true" t="shared" si="1" ref="B12:I12">+B10-B11</f>
        <v>355.03000000000054</v>
      </c>
      <c r="C12" s="389">
        <f t="shared" si="1"/>
        <v>-51.32999999999996</v>
      </c>
      <c r="D12" s="390">
        <f t="shared" si="1"/>
        <v>303.7000000000006</v>
      </c>
      <c r="E12" s="389">
        <f t="shared" si="1"/>
        <v>81.83999999999999</v>
      </c>
      <c r="F12" s="389">
        <f t="shared" si="1"/>
        <v>-22.380000000000003</v>
      </c>
      <c r="G12" s="389">
        <f t="shared" si="1"/>
        <v>7.299999999999999</v>
      </c>
      <c r="H12" s="390">
        <f t="shared" si="1"/>
        <v>15.430000000000035</v>
      </c>
      <c r="I12" s="391">
        <f t="shared" si="1"/>
        <v>370.4600000000005</v>
      </c>
    </row>
    <row r="13" spans="1:9" ht="15">
      <c r="A13" s="148" t="s">
        <v>240</v>
      </c>
      <c r="B13" s="364">
        <f>-1048.34+6.17</f>
        <v>-1042.1699999999998</v>
      </c>
      <c r="C13" s="364">
        <v>0</v>
      </c>
      <c r="D13" s="371">
        <f>+B13+C13</f>
        <v>-1042.1699999999998</v>
      </c>
      <c r="E13" s="364">
        <v>0</v>
      </c>
      <c r="F13" s="365">
        <v>4.16</v>
      </c>
      <c r="G13" s="365">
        <v>0</v>
      </c>
      <c r="H13" s="374">
        <f>+C13+E13+F13+G13</f>
        <v>4.16</v>
      </c>
      <c r="I13" s="376">
        <f>+B13+H13</f>
        <v>-1038.0099999999998</v>
      </c>
    </row>
    <row r="14" spans="1:9" ht="16.5" thickBot="1">
      <c r="A14" s="368" t="s">
        <v>74</v>
      </c>
      <c r="B14" s="369">
        <f aca="true" t="shared" si="2" ref="B14:I14">+B12-B13</f>
        <v>1397.2000000000003</v>
      </c>
      <c r="C14" s="369">
        <f t="shared" si="2"/>
        <v>-51.32999999999996</v>
      </c>
      <c r="D14" s="373">
        <f t="shared" si="2"/>
        <v>1345.8700000000003</v>
      </c>
      <c r="E14" s="369">
        <f t="shared" si="2"/>
        <v>81.83999999999999</v>
      </c>
      <c r="F14" s="369">
        <f t="shared" si="2"/>
        <v>-26.540000000000003</v>
      </c>
      <c r="G14" s="369">
        <f t="shared" si="2"/>
        <v>7.299999999999999</v>
      </c>
      <c r="H14" s="373">
        <f t="shared" si="2"/>
        <v>11.270000000000035</v>
      </c>
      <c r="I14" s="378">
        <f t="shared" si="2"/>
        <v>1408.4700000000003</v>
      </c>
    </row>
    <row r="15" spans="2:9" ht="15.75" thickTop="1">
      <c r="B15" s="150"/>
      <c r="C15" s="150"/>
      <c r="D15" s="150"/>
      <c r="E15" s="150"/>
      <c r="F15" s="370"/>
      <c r="G15" s="370"/>
      <c r="H15" s="370"/>
      <c r="I15" s="370"/>
    </row>
    <row r="16" ht="16.5" thickBot="1">
      <c r="A16" s="266" t="s">
        <v>325</v>
      </c>
    </row>
    <row r="17" spans="1:9" ht="16.5" thickBot="1">
      <c r="A17" s="379"/>
      <c r="B17" s="933" t="s">
        <v>210</v>
      </c>
      <c r="C17" s="934"/>
      <c r="D17" s="935"/>
      <c r="E17" s="933" t="s">
        <v>211</v>
      </c>
      <c r="F17" s="934"/>
      <c r="G17" s="934"/>
      <c r="H17" s="935"/>
      <c r="I17" s="392"/>
    </row>
    <row r="18" spans="1:9" ht="15.75">
      <c r="A18" s="380"/>
      <c r="B18" s="387" t="s">
        <v>223</v>
      </c>
      <c r="C18" s="363"/>
      <c r="D18" s="383"/>
      <c r="E18" s="388"/>
      <c r="F18" s="363"/>
      <c r="G18" s="363"/>
      <c r="H18" s="383"/>
      <c r="I18" s="393" t="s">
        <v>212</v>
      </c>
    </row>
    <row r="19" spans="1:9" ht="15.75">
      <c r="A19" s="380"/>
      <c r="B19" s="382"/>
      <c r="C19" s="363" t="s">
        <v>213</v>
      </c>
      <c r="D19" s="383" t="s">
        <v>76</v>
      </c>
      <c r="E19" s="382" t="s">
        <v>214</v>
      </c>
      <c r="F19" s="363" t="s">
        <v>215</v>
      </c>
      <c r="G19" s="363" t="s">
        <v>216</v>
      </c>
      <c r="H19" s="383" t="s">
        <v>76</v>
      </c>
      <c r="I19" s="393" t="s">
        <v>76</v>
      </c>
    </row>
    <row r="20" spans="1:9" ht="16.5" thickBot="1">
      <c r="A20" s="381" t="s">
        <v>217</v>
      </c>
      <c r="B20" s="384">
        <v>1</v>
      </c>
      <c r="C20" s="385">
        <v>2</v>
      </c>
      <c r="D20" s="386" t="s">
        <v>218</v>
      </c>
      <c r="E20" s="384">
        <v>4</v>
      </c>
      <c r="F20" s="385">
        <v>5</v>
      </c>
      <c r="G20" s="385">
        <v>6</v>
      </c>
      <c r="H20" s="386" t="s">
        <v>219</v>
      </c>
      <c r="I20" s="394" t="s">
        <v>220</v>
      </c>
    </row>
    <row r="21" spans="1:9" ht="15">
      <c r="A21" s="148" t="s">
        <v>90</v>
      </c>
      <c r="B21" s="364">
        <f>512.99-177.22-33.02+84.74-87.27-33.55-0.01</f>
        <v>266.66</v>
      </c>
      <c r="C21" s="364">
        <f>33.02+177.22+7.91</f>
        <v>218.15</v>
      </c>
      <c r="D21" s="371">
        <f>+B21+C21</f>
        <v>484.81000000000006</v>
      </c>
      <c r="E21" s="364">
        <v>137.12</v>
      </c>
      <c r="F21" s="365">
        <v>18.3</v>
      </c>
      <c r="G21" s="365">
        <v>22.52</v>
      </c>
      <c r="H21" s="374">
        <f>+C21+E21+F21+G21</f>
        <v>396.09</v>
      </c>
      <c r="I21" s="376">
        <f>+B21+H21</f>
        <v>662.75</v>
      </c>
    </row>
    <row r="22" spans="1:9" ht="15">
      <c r="A22" s="148" t="s">
        <v>238</v>
      </c>
      <c r="B22" s="366">
        <f>690.67-167.72+4.77-87.27-33.55-0.01</f>
        <v>406.88999999999993</v>
      </c>
      <c r="C22" s="366">
        <f>16.24+151.48</f>
        <v>167.72</v>
      </c>
      <c r="D22" s="372">
        <f>+B22+C22</f>
        <v>574.6099999999999</v>
      </c>
      <c r="E22" s="366">
        <v>33.67</v>
      </c>
      <c r="F22" s="367">
        <f>12.63+0.01</f>
        <v>12.64</v>
      </c>
      <c r="G22" s="367">
        <v>5.81</v>
      </c>
      <c r="H22" s="375">
        <f>+C22+E22+F22+G22</f>
        <v>219.83999999999997</v>
      </c>
      <c r="I22" s="377">
        <f>+B22+H22</f>
        <v>626.7299999999999</v>
      </c>
    </row>
    <row r="23" spans="1:9" ht="15.75">
      <c r="A23" s="148"/>
      <c r="B23" s="389">
        <f aca="true" t="shared" si="3" ref="B23:I23">+B21-B22</f>
        <v>-140.2299999999999</v>
      </c>
      <c r="C23" s="389">
        <f t="shared" si="3"/>
        <v>50.43000000000001</v>
      </c>
      <c r="D23" s="390">
        <f t="shared" si="3"/>
        <v>-89.79999999999984</v>
      </c>
      <c r="E23" s="389">
        <f t="shared" si="3"/>
        <v>103.45</v>
      </c>
      <c r="F23" s="389">
        <f t="shared" si="3"/>
        <v>5.66</v>
      </c>
      <c r="G23" s="389">
        <f t="shared" si="3"/>
        <v>16.71</v>
      </c>
      <c r="H23" s="390">
        <f t="shared" si="3"/>
        <v>176.25</v>
      </c>
      <c r="I23" s="391">
        <f t="shared" si="3"/>
        <v>36.020000000000095</v>
      </c>
    </row>
    <row r="24" spans="1:9" ht="15">
      <c r="A24" s="148" t="s">
        <v>239</v>
      </c>
      <c r="B24" s="366">
        <v>0</v>
      </c>
      <c r="C24" s="366">
        <v>40.91</v>
      </c>
      <c r="D24" s="372">
        <f>+B24+C24</f>
        <v>40.91</v>
      </c>
      <c r="E24" s="366">
        <v>0.55</v>
      </c>
      <c r="F24" s="367">
        <v>1.37</v>
      </c>
      <c r="G24" s="367">
        <v>8.45</v>
      </c>
      <c r="H24" s="375">
        <f>+C24+E24+F24+G24</f>
        <v>51.27999999999999</v>
      </c>
      <c r="I24" s="377">
        <f>+B24+H24</f>
        <v>51.27999999999999</v>
      </c>
    </row>
    <row r="25" spans="1:9" ht="15.75">
      <c r="A25" s="362" t="s">
        <v>221</v>
      </c>
      <c r="B25" s="389">
        <f aca="true" t="shared" si="4" ref="B25:I25">+B23-B24</f>
        <v>-140.2299999999999</v>
      </c>
      <c r="C25" s="389">
        <f t="shared" si="4"/>
        <v>9.52000000000001</v>
      </c>
      <c r="D25" s="390">
        <f t="shared" si="4"/>
        <v>-130.70999999999984</v>
      </c>
      <c r="E25" s="389">
        <f t="shared" si="4"/>
        <v>102.9</v>
      </c>
      <c r="F25" s="389">
        <f t="shared" si="4"/>
        <v>4.29</v>
      </c>
      <c r="G25" s="389">
        <f t="shared" si="4"/>
        <v>8.260000000000002</v>
      </c>
      <c r="H25" s="390">
        <f t="shared" si="4"/>
        <v>124.97000000000001</v>
      </c>
      <c r="I25" s="391">
        <f t="shared" si="4"/>
        <v>-15.259999999999891</v>
      </c>
    </row>
    <row r="26" spans="1:9" ht="15">
      <c r="A26" s="148" t="s">
        <v>240</v>
      </c>
      <c r="B26" s="364">
        <v>-851.55</v>
      </c>
      <c r="C26" s="364">
        <v>0</v>
      </c>
      <c r="D26" s="371">
        <f>+B26+C26</f>
        <v>-851.55</v>
      </c>
      <c r="E26" s="364">
        <v>0</v>
      </c>
      <c r="F26" s="365">
        <v>0.9</v>
      </c>
      <c r="G26" s="365">
        <v>-0.02</v>
      </c>
      <c r="H26" s="374">
        <f>+C26+E26+F26+G26</f>
        <v>0.88</v>
      </c>
      <c r="I26" s="376">
        <f>+B26+H26</f>
        <v>-850.67</v>
      </c>
    </row>
    <row r="27" spans="1:9" ht="16.5" thickBot="1">
      <c r="A27" s="368" t="s">
        <v>74</v>
      </c>
      <c r="B27" s="369">
        <f aca="true" t="shared" si="5" ref="B27:I27">+B25-B26</f>
        <v>711.32</v>
      </c>
      <c r="C27" s="369">
        <f t="shared" si="5"/>
        <v>9.52000000000001</v>
      </c>
      <c r="D27" s="373">
        <f t="shared" si="5"/>
        <v>720.8400000000001</v>
      </c>
      <c r="E27" s="369">
        <f t="shared" si="5"/>
        <v>102.9</v>
      </c>
      <c r="F27" s="369">
        <f t="shared" si="5"/>
        <v>3.39</v>
      </c>
      <c r="G27" s="369">
        <f t="shared" si="5"/>
        <v>8.280000000000001</v>
      </c>
      <c r="H27" s="373">
        <f t="shared" si="5"/>
        <v>124.09000000000002</v>
      </c>
      <c r="I27" s="378">
        <f t="shared" si="5"/>
        <v>835.4100000000001</v>
      </c>
    </row>
    <row r="28" spans="2:9" ht="5.25" customHeight="1" thickTop="1">
      <c r="B28" s="150"/>
      <c r="C28" s="150"/>
      <c r="D28" s="150"/>
      <c r="E28" s="150"/>
      <c r="F28" s="370"/>
      <c r="G28" s="370"/>
      <c r="H28" s="370"/>
      <c r="I28" s="370"/>
    </row>
    <row r="29" ht="16.5" thickBot="1">
      <c r="A29" s="266" t="s">
        <v>326</v>
      </c>
    </row>
    <row r="30" spans="1:9" ht="16.5" thickBot="1">
      <c r="A30" s="379"/>
      <c r="B30" s="933" t="s">
        <v>210</v>
      </c>
      <c r="C30" s="934"/>
      <c r="D30" s="935"/>
      <c r="E30" s="933" t="s">
        <v>211</v>
      </c>
      <c r="F30" s="934"/>
      <c r="G30" s="934"/>
      <c r="H30" s="935"/>
      <c r="I30" s="392"/>
    </row>
    <row r="31" spans="1:9" ht="15.75">
      <c r="A31" s="380"/>
      <c r="B31" s="387" t="s">
        <v>223</v>
      </c>
      <c r="C31" s="363"/>
      <c r="D31" s="383"/>
      <c r="E31" s="388"/>
      <c r="F31" s="363"/>
      <c r="G31" s="363"/>
      <c r="H31" s="383"/>
      <c r="I31" s="393" t="s">
        <v>212</v>
      </c>
    </row>
    <row r="32" spans="1:9" ht="15.75">
      <c r="A32" s="380"/>
      <c r="B32" s="382"/>
      <c r="C32" s="363" t="s">
        <v>213</v>
      </c>
      <c r="D32" s="383" t="s">
        <v>76</v>
      </c>
      <c r="E32" s="382" t="s">
        <v>214</v>
      </c>
      <c r="F32" s="363" t="s">
        <v>215</v>
      </c>
      <c r="G32" s="363" t="s">
        <v>216</v>
      </c>
      <c r="H32" s="383" t="s">
        <v>76</v>
      </c>
      <c r="I32" s="393" t="s">
        <v>76</v>
      </c>
    </row>
    <row r="33" spans="1:9" ht="16.5" thickBot="1">
      <c r="A33" s="381" t="s">
        <v>217</v>
      </c>
      <c r="B33" s="384">
        <v>1</v>
      </c>
      <c r="C33" s="385">
        <v>2</v>
      </c>
      <c r="D33" s="386" t="s">
        <v>218</v>
      </c>
      <c r="E33" s="384">
        <v>4</v>
      </c>
      <c r="F33" s="385">
        <v>5</v>
      </c>
      <c r="G33" s="385">
        <v>6</v>
      </c>
      <c r="H33" s="386" t="s">
        <v>219</v>
      </c>
      <c r="I33" s="394" t="s">
        <v>220</v>
      </c>
    </row>
    <row r="34" spans="1:9" ht="15">
      <c r="A34" s="148" t="s">
        <v>90</v>
      </c>
      <c r="B34" s="364">
        <f>121.53+5+3.19+9.1+79.25-9.19-79.25-2.5+84.74</f>
        <v>211.87</v>
      </c>
      <c r="C34" s="364">
        <f>135.98+3.33+84.74-84.74</f>
        <v>139.31</v>
      </c>
      <c r="D34" s="371">
        <f>+B34+C34</f>
        <v>351.18</v>
      </c>
      <c r="E34" s="364">
        <f>62.75</f>
        <v>62.75</v>
      </c>
      <c r="F34" s="365">
        <f>7.61</f>
        <v>7.61</v>
      </c>
      <c r="G34" s="365">
        <f>15.01</f>
        <v>15.01</v>
      </c>
      <c r="H34" s="374">
        <f>+C34+E34+F34+G34</f>
        <v>224.68</v>
      </c>
      <c r="I34" s="376">
        <f>+B34+H34</f>
        <v>436.55</v>
      </c>
    </row>
    <row r="35" spans="1:9" ht="15">
      <c r="A35" s="148" t="s">
        <v>238</v>
      </c>
      <c r="B35" s="366">
        <f>430.74-9.19-0.01-79.25-2.5+1.4-12</f>
        <v>329.19</v>
      </c>
      <c r="C35" s="366">
        <f>12.09+90.17+0.27+2.63-12+12</f>
        <v>105.16</v>
      </c>
      <c r="D35" s="372">
        <f>+B35+C35</f>
        <v>434.35</v>
      </c>
      <c r="E35" s="366">
        <f>22.79</f>
        <v>22.79</v>
      </c>
      <c r="F35" s="367">
        <f>8.27</f>
        <v>8.27</v>
      </c>
      <c r="G35" s="367">
        <v>5.18</v>
      </c>
      <c r="H35" s="375">
        <f>+C35+E35+F35+G35</f>
        <v>141.4</v>
      </c>
      <c r="I35" s="377">
        <f>+B35+H35</f>
        <v>470.59000000000003</v>
      </c>
    </row>
    <row r="36" spans="1:9" ht="15.75">
      <c r="A36" s="148"/>
      <c r="B36" s="389">
        <f aca="true" t="shared" si="6" ref="B36:I36">+B34-B35</f>
        <v>-117.32</v>
      </c>
      <c r="C36" s="389">
        <f t="shared" si="6"/>
        <v>34.150000000000006</v>
      </c>
      <c r="D36" s="390">
        <f t="shared" si="6"/>
        <v>-83.17000000000002</v>
      </c>
      <c r="E36" s="389">
        <f t="shared" si="6"/>
        <v>39.96</v>
      </c>
      <c r="F36" s="389">
        <f t="shared" si="6"/>
        <v>-0.6599999999999993</v>
      </c>
      <c r="G36" s="389">
        <f t="shared" si="6"/>
        <v>9.83</v>
      </c>
      <c r="H36" s="390">
        <f t="shared" si="6"/>
        <v>83.28</v>
      </c>
      <c r="I36" s="391">
        <f t="shared" si="6"/>
        <v>-34.04000000000002</v>
      </c>
    </row>
    <row r="37" spans="1:9" ht="15">
      <c r="A37" s="148" t="s">
        <v>239</v>
      </c>
      <c r="B37" s="366">
        <v>0</v>
      </c>
      <c r="C37" s="366">
        <v>27.04</v>
      </c>
      <c r="D37" s="372">
        <f>+B37+C37</f>
        <v>27.04</v>
      </c>
      <c r="E37" s="366">
        <v>0.22</v>
      </c>
      <c r="F37" s="367">
        <v>0.91</v>
      </c>
      <c r="G37" s="367">
        <f>5.63</f>
        <v>5.63</v>
      </c>
      <c r="H37" s="375">
        <f>+C37+E37+F37+G37</f>
        <v>33.8</v>
      </c>
      <c r="I37" s="377">
        <f>+B37+H37</f>
        <v>33.8</v>
      </c>
    </row>
    <row r="38" spans="1:9" ht="15.75">
      <c r="A38" s="362" t="s">
        <v>221</v>
      </c>
      <c r="B38" s="389">
        <f aca="true" t="shared" si="7" ref="B38:I38">+B36-B37</f>
        <v>-117.32</v>
      </c>
      <c r="C38" s="389">
        <f t="shared" si="7"/>
        <v>7.1100000000000065</v>
      </c>
      <c r="D38" s="390">
        <f t="shared" si="7"/>
        <v>-110.21000000000001</v>
      </c>
      <c r="E38" s="389">
        <f t="shared" si="7"/>
        <v>39.74</v>
      </c>
      <c r="F38" s="389">
        <f t="shared" si="7"/>
        <v>-1.5699999999999994</v>
      </c>
      <c r="G38" s="389">
        <f t="shared" si="7"/>
        <v>4.2</v>
      </c>
      <c r="H38" s="390">
        <f t="shared" si="7"/>
        <v>49.480000000000004</v>
      </c>
      <c r="I38" s="391">
        <f t="shared" si="7"/>
        <v>-67.84000000000002</v>
      </c>
    </row>
    <row r="39" spans="1:9" ht="15">
      <c r="A39" s="148" t="s">
        <v>240</v>
      </c>
      <c r="B39" s="364">
        <f>-1.38-63.39-24.85-550.48-159.45+233.06</f>
        <v>-566.49</v>
      </c>
      <c r="C39" s="364">
        <v>0</v>
      </c>
      <c r="D39" s="371">
        <f>+B39+C39</f>
        <v>-566.49</v>
      </c>
      <c r="E39" s="364">
        <v>0</v>
      </c>
      <c r="F39" s="365">
        <v>0.6</v>
      </c>
      <c r="G39" s="365">
        <v>-0.02</v>
      </c>
      <c r="H39" s="374">
        <f>+C39+E39+F39+G39</f>
        <v>0.58</v>
      </c>
      <c r="I39" s="376">
        <f>+B39+H39</f>
        <v>-565.91</v>
      </c>
    </row>
    <row r="40" spans="1:9" ht="16.5" thickBot="1">
      <c r="A40" s="368" t="s">
        <v>74</v>
      </c>
      <c r="B40" s="369">
        <f aca="true" t="shared" si="8" ref="B40:I40">+B38-B39</f>
        <v>449.17</v>
      </c>
      <c r="C40" s="369">
        <f t="shared" si="8"/>
        <v>7.1100000000000065</v>
      </c>
      <c r="D40" s="373">
        <f t="shared" si="8"/>
        <v>456.28</v>
      </c>
      <c r="E40" s="369">
        <f t="shared" si="8"/>
        <v>39.74</v>
      </c>
      <c r="F40" s="369">
        <f t="shared" si="8"/>
        <v>-2.1699999999999995</v>
      </c>
      <c r="G40" s="369">
        <f t="shared" si="8"/>
        <v>4.22</v>
      </c>
      <c r="H40" s="373">
        <f t="shared" si="8"/>
        <v>48.900000000000006</v>
      </c>
      <c r="I40" s="378">
        <f t="shared" si="8"/>
        <v>498.06999999999994</v>
      </c>
    </row>
    <row r="41" spans="6:9" ht="6" customHeight="1" thickTop="1">
      <c r="F41" s="110"/>
      <c r="G41" s="110"/>
      <c r="H41" s="110"/>
      <c r="I41" s="110"/>
    </row>
    <row r="42" ht="16.5" thickBot="1">
      <c r="A42" s="266" t="s">
        <v>327</v>
      </c>
    </row>
    <row r="43" spans="1:9" ht="16.5" thickBot="1">
      <c r="A43" s="379"/>
      <c r="B43" s="933" t="s">
        <v>210</v>
      </c>
      <c r="C43" s="934"/>
      <c r="D43" s="935"/>
      <c r="E43" s="933" t="s">
        <v>211</v>
      </c>
      <c r="F43" s="934"/>
      <c r="G43" s="934"/>
      <c r="H43" s="935"/>
      <c r="I43" s="392"/>
    </row>
    <row r="44" spans="1:9" ht="15.75">
      <c r="A44" s="380"/>
      <c r="B44" s="387" t="s">
        <v>223</v>
      </c>
      <c r="C44" s="363"/>
      <c r="D44" s="383"/>
      <c r="E44" s="388"/>
      <c r="F44" s="363"/>
      <c r="G44" s="363"/>
      <c r="H44" s="383"/>
      <c r="I44" s="393" t="s">
        <v>212</v>
      </c>
    </row>
    <row r="45" spans="1:9" ht="15.75">
      <c r="A45" s="380"/>
      <c r="B45" s="382"/>
      <c r="C45" s="363" t="s">
        <v>213</v>
      </c>
      <c r="D45" s="383" t="s">
        <v>76</v>
      </c>
      <c r="E45" s="382" t="s">
        <v>214</v>
      </c>
      <c r="F45" s="363" t="s">
        <v>215</v>
      </c>
      <c r="G45" s="363" t="s">
        <v>216</v>
      </c>
      <c r="H45" s="383" t="s">
        <v>76</v>
      </c>
      <c r="I45" s="393" t="s">
        <v>76</v>
      </c>
    </row>
    <row r="46" spans="1:9" ht="16.5" thickBot="1">
      <c r="A46" s="381" t="s">
        <v>217</v>
      </c>
      <c r="B46" s="384">
        <v>1</v>
      </c>
      <c r="C46" s="385">
        <v>2</v>
      </c>
      <c r="D46" s="386" t="s">
        <v>218</v>
      </c>
      <c r="E46" s="384">
        <v>4</v>
      </c>
      <c r="F46" s="385">
        <v>5</v>
      </c>
      <c r="G46" s="385">
        <v>6</v>
      </c>
      <c r="H46" s="386" t="s">
        <v>219</v>
      </c>
      <c r="I46" s="394" t="s">
        <v>220</v>
      </c>
    </row>
    <row r="47" spans="1:9" ht="15">
      <c r="A47" s="148" t="s">
        <v>90</v>
      </c>
      <c r="B47" s="364">
        <f>+B21-B34</f>
        <v>54.79000000000002</v>
      </c>
      <c r="C47" s="364">
        <f>+C21-C34</f>
        <v>78.84</v>
      </c>
      <c r="D47" s="371">
        <f>+B47+C47</f>
        <v>133.63000000000002</v>
      </c>
      <c r="E47" s="364">
        <f aca="true" t="shared" si="9" ref="E47:G48">+E21-E34</f>
        <v>74.37</v>
      </c>
      <c r="F47" s="364">
        <f t="shared" si="9"/>
        <v>10.690000000000001</v>
      </c>
      <c r="G47" s="364">
        <f t="shared" si="9"/>
        <v>7.51</v>
      </c>
      <c r="H47" s="374">
        <f>+C47+E47+F47+G47</f>
        <v>171.41</v>
      </c>
      <c r="I47" s="376">
        <f>+B47+H47</f>
        <v>226.20000000000002</v>
      </c>
    </row>
    <row r="48" spans="1:9" ht="15">
      <c r="A48" s="148" t="s">
        <v>238</v>
      </c>
      <c r="B48" s="366">
        <f>+B22-B35</f>
        <v>77.69999999999993</v>
      </c>
      <c r="C48" s="366">
        <f>+C22-C35</f>
        <v>62.56</v>
      </c>
      <c r="D48" s="372">
        <f>+B48+C48</f>
        <v>140.25999999999993</v>
      </c>
      <c r="E48" s="366">
        <f t="shared" si="9"/>
        <v>10.880000000000003</v>
      </c>
      <c r="F48" s="366">
        <f t="shared" si="9"/>
        <v>4.370000000000001</v>
      </c>
      <c r="G48" s="366">
        <f t="shared" si="9"/>
        <v>0.6299999999999999</v>
      </c>
      <c r="H48" s="375">
        <f>+C48+E48+F48+G48</f>
        <v>78.44</v>
      </c>
      <c r="I48" s="377">
        <f>+B48+H48</f>
        <v>156.13999999999993</v>
      </c>
    </row>
    <row r="49" spans="1:9" ht="15.75">
      <c r="A49" s="148"/>
      <c r="B49" s="389">
        <f aca="true" t="shared" si="10" ref="B49:I49">+B47-B48</f>
        <v>-22.90999999999991</v>
      </c>
      <c r="C49" s="389">
        <f t="shared" si="10"/>
        <v>16.28</v>
      </c>
      <c r="D49" s="390">
        <f t="shared" si="10"/>
        <v>-6.62999999999991</v>
      </c>
      <c r="E49" s="389">
        <f t="shared" si="10"/>
        <v>63.49</v>
      </c>
      <c r="F49" s="389">
        <f t="shared" si="10"/>
        <v>6.32</v>
      </c>
      <c r="G49" s="389">
        <f t="shared" si="10"/>
        <v>6.88</v>
      </c>
      <c r="H49" s="390">
        <f t="shared" si="10"/>
        <v>92.97</v>
      </c>
      <c r="I49" s="391">
        <f t="shared" si="10"/>
        <v>70.06000000000009</v>
      </c>
    </row>
    <row r="50" spans="1:9" ht="15">
      <c r="A50" s="148" t="s">
        <v>239</v>
      </c>
      <c r="B50" s="366">
        <f>+B24-B37</f>
        <v>0</v>
      </c>
      <c r="C50" s="366">
        <f>+C24-C37</f>
        <v>13.869999999999997</v>
      </c>
      <c r="D50" s="372">
        <f>+B50+C50</f>
        <v>13.869999999999997</v>
      </c>
      <c r="E50" s="366">
        <f>+E24-E37</f>
        <v>0.33000000000000007</v>
      </c>
      <c r="F50" s="366">
        <f>+F24-F37</f>
        <v>0.4600000000000001</v>
      </c>
      <c r="G50" s="366">
        <f>+G24-G37</f>
        <v>2.8199999999999994</v>
      </c>
      <c r="H50" s="375">
        <f>+C50+E50+F50+G50</f>
        <v>17.479999999999997</v>
      </c>
      <c r="I50" s="377">
        <f>+B50+H50</f>
        <v>17.479999999999997</v>
      </c>
    </row>
    <row r="51" spans="1:9" ht="15.75">
      <c r="A51" s="362" t="s">
        <v>221</v>
      </c>
      <c r="B51" s="389">
        <f aca="true" t="shared" si="11" ref="B51:I51">+B49-B50</f>
        <v>-22.90999999999991</v>
      </c>
      <c r="C51" s="389">
        <f t="shared" si="11"/>
        <v>2.4100000000000037</v>
      </c>
      <c r="D51" s="390">
        <f t="shared" si="11"/>
        <v>-20.499999999999908</v>
      </c>
      <c r="E51" s="389">
        <f t="shared" si="11"/>
        <v>63.160000000000004</v>
      </c>
      <c r="F51" s="389">
        <f t="shared" si="11"/>
        <v>5.86</v>
      </c>
      <c r="G51" s="389">
        <f t="shared" si="11"/>
        <v>4.0600000000000005</v>
      </c>
      <c r="H51" s="390">
        <f t="shared" si="11"/>
        <v>75.49000000000001</v>
      </c>
      <c r="I51" s="391">
        <f t="shared" si="11"/>
        <v>52.58000000000009</v>
      </c>
    </row>
    <row r="52" spans="1:9" ht="15">
      <c r="A52" s="148" t="s">
        <v>240</v>
      </c>
      <c r="B52" s="364">
        <f>+B26-B39</f>
        <v>-285.05999999999995</v>
      </c>
      <c r="C52" s="364">
        <f>+C26-C39</f>
        <v>0</v>
      </c>
      <c r="D52" s="371">
        <f>+B52+C52</f>
        <v>-285.05999999999995</v>
      </c>
      <c r="E52" s="364">
        <f>+E26-E39</f>
        <v>0</v>
      </c>
      <c r="F52" s="364">
        <f>+F26-F39</f>
        <v>0.30000000000000004</v>
      </c>
      <c r="G52" s="364">
        <f>+G26-G39</f>
        <v>0</v>
      </c>
      <c r="H52" s="374">
        <f>+C52+E52+F52+G52</f>
        <v>0.30000000000000004</v>
      </c>
      <c r="I52" s="376">
        <f>+B52+H52</f>
        <v>-284.75999999999993</v>
      </c>
    </row>
    <row r="53" spans="1:9" ht="16.5" thickBot="1">
      <c r="A53" s="368" t="s">
        <v>74</v>
      </c>
      <c r="B53" s="369">
        <f aca="true" t="shared" si="12" ref="B53:I53">+B51-B52</f>
        <v>262.15000000000003</v>
      </c>
      <c r="C53" s="369">
        <f t="shared" si="12"/>
        <v>2.4100000000000037</v>
      </c>
      <c r="D53" s="373">
        <f t="shared" si="12"/>
        <v>264.56000000000006</v>
      </c>
      <c r="E53" s="369">
        <f t="shared" si="12"/>
        <v>63.160000000000004</v>
      </c>
      <c r="F53" s="369">
        <f t="shared" si="12"/>
        <v>5.5600000000000005</v>
      </c>
      <c r="G53" s="369">
        <f t="shared" si="12"/>
        <v>4.0600000000000005</v>
      </c>
      <c r="H53" s="373">
        <f t="shared" si="12"/>
        <v>75.19000000000001</v>
      </c>
      <c r="I53" s="378">
        <f t="shared" si="12"/>
        <v>337.34000000000003</v>
      </c>
    </row>
    <row r="54" spans="6:9" ht="6" customHeight="1" thickTop="1">
      <c r="F54" s="110"/>
      <c r="G54" s="110"/>
      <c r="H54" s="110"/>
      <c r="I54" s="110"/>
    </row>
    <row r="55" ht="16.5" thickBot="1">
      <c r="A55" s="266" t="s">
        <v>328</v>
      </c>
    </row>
    <row r="56" spans="1:9" ht="16.5" thickBot="1">
      <c r="A56" s="379"/>
      <c r="B56" s="933" t="s">
        <v>210</v>
      </c>
      <c r="C56" s="934"/>
      <c r="D56" s="935"/>
      <c r="E56" s="933" t="s">
        <v>211</v>
      </c>
      <c r="F56" s="934"/>
      <c r="G56" s="934"/>
      <c r="H56" s="935"/>
      <c r="I56" s="392"/>
    </row>
    <row r="57" spans="1:9" ht="15.75">
      <c r="A57" s="380"/>
      <c r="B57" s="387" t="s">
        <v>223</v>
      </c>
      <c r="C57" s="363"/>
      <c r="D57" s="383"/>
      <c r="E57" s="388"/>
      <c r="F57" s="363"/>
      <c r="G57" s="363"/>
      <c r="H57" s="383"/>
      <c r="I57" s="393" t="s">
        <v>212</v>
      </c>
    </row>
    <row r="58" spans="1:9" ht="15.75">
      <c r="A58" s="380"/>
      <c r="B58" s="501" t="s">
        <v>241</v>
      </c>
      <c r="C58" s="363" t="s">
        <v>213</v>
      </c>
      <c r="D58" s="383" t="s">
        <v>76</v>
      </c>
      <c r="E58" s="382" t="s">
        <v>214</v>
      </c>
      <c r="F58" s="363" t="s">
        <v>215</v>
      </c>
      <c r="G58" s="363" t="s">
        <v>216</v>
      </c>
      <c r="H58" s="383" t="s">
        <v>76</v>
      </c>
      <c r="I58" s="393" t="s">
        <v>76</v>
      </c>
    </row>
    <row r="59" spans="1:9" ht="16.5" thickBot="1">
      <c r="A59" s="381" t="s">
        <v>217</v>
      </c>
      <c r="B59" s="384">
        <v>1</v>
      </c>
      <c r="C59" s="385">
        <v>2</v>
      </c>
      <c r="D59" s="386" t="s">
        <v>218</v>
      </c>
      <c r="E59" s="384">
        <v>4</v>
      </c>
      <c r="F59" s="385">
        <v>5</v>
      </c>
      <c r="G59" s="385">
        <v>6</v>
      </c>
      <c r="H59" s="386" t="s">
        <v>219</v>
      </c>
      <c r="I59" s="394" t="s">
        <v>220</v>
      </c>
    </row>
    <row r="60" spans="1:9" ht="15">
      <c r="A60" s="148" t="s">
        <v>90</v>
      </c>
      <c r="B60" s="364">
        <f>25.44+532.16</f>
        <v>557.6</v>
      </c>
      <c r="C60" s="364">
        <f>229.56+1.96</f>
        <v>231.52</v>
      </c>
      <c r="D60" s="371">
        <f>+B60+C60</f>
        <v>789.12</v>
      </c>
      <c r="E60" s="364">
        <f>95.16</f>
        <v>95.16</v>
      </c>
      <c r="F60" s="365">
        <f>13.59</f>
        <v>13.59</v>
      </c>
      <c r="G60" s="365">
        <f>21.82</f>
        <v>21.82</v>
      </c>
      <c r="H60" s="374">
        <f>+C60+E60+F60+G60</f>
        <v>362.09</v>
      </c>
      <c r="I60" s="376">
        <f>+B60+H60</f>
        <v>919.69</v>
      </c>
    </row>
    <row r="61" spans="1:9" ht="15">
      <c r="A61" s="148" t="s">
        <v>238</v>
      </c>
      <c r="B61" s="366">
        <f>199.07+62.1</f>
        <v>261.17</v>
      </c>
      <c r="C61" s="366">
        <f>222.18+1.95</f>
        <v>224.13</v>
      </c>
      <c r="D61" s="372">
        <f>+B61+C61</f>
        <v>485.3</v>
      </c>
      <c r="E61" s="366">
        <f>35.89</f>
        <v>35.89</v>
      </c>
      <c r="F61" s="367">
        <f>34.31</f>
        <v>34.31</v>
      </c>
      <c r="G61" s="367">
        <f>6.2</f>
        <v>6.2</v>
      </c>
      <c r="H61" s="375">
        <f>+C61+E61+F61+G61</f>
        <v>300.53</v>
      </c>
      <c r="I61" s="377">
        <f>+B61+H61</f>
        <v>561.7</v>
      </c>
    </row>
    <row r="62" spans="1:9" ht="15.75">
      <c r="A62" s="148"/>
      <c r="B62" s="389">
        <f aca="true" t="shared" si="13" ref="B62:I62">+B60-B61</f>
        <v>296.43</v>
      </c>
      <c r="C62" s="389">
        <f t="shared" si="13"/>
        <v>7.390000000000015</v>
      </c>
      <c r="D62" s="390">
        <f t="shared" si="13"/>
        <v>303.82</v>
      </c>
      <c r="E62" s="389">
        <f t="shared" si="13"/>
        <v>59.269999999999996</v>
      </c>
      <c r="F62" s="389">
        <f t="shared" si="13"/>
        <v>-20.720000000000002</v>
      </c>
      <c r="G62" s="389">
        <f t="shared" si="13"/>
        <v>15.620000000000001</v>
      </c>
      <c r="H62" s="390">
        <f t="shared" si="13"/>
        <v>61.56</v>
      </c>
      <c r="I62" s="391">
        <f t="shared" si="13"/>
        <v>357.99</v>
      </c>
    </row>
    <row r="63" spans="1:9" ht="15">
      <c r="A63" s="148" t="s">
        <v>239</v>
      </c>
      <c r="B63" s="366">
        <v>0</v>
      </c>
      <c r="C63" s="366">
        <f>40.59</f>
        <v>40.59</v>
      </c>
      <c r="D63" s="372">
        <f>+B63+C63</f>
        <v>40.59</v>
      </c>
      <c r="E63" s="366">
        <f>0.19</f>
        <v>0.19</v>
      </c>
      <c r="F63" s="367">
        <f>1.41</f>
        <v>1.41</v>
      </c>
      <c r="G63" s="367">
        <f>8.43</f>
        <v>8.43</v>
      </c>
      <c r="H63" s="375">
        <f>+C63+E63+F63+G63</f>
        <v>50.62</v>
      </c>
      <c r="I63" s="377">
        <f>+B63+H63</f>
        <v>50.62</v>
      </c>
    </row>
    <row r="64" spans="1:9" ht="15.75">
      <c r="A64" s="362" t="s">
        <v>221</v>
      </c>
      <c r="B64" s="389">
        <f aca="true" t="shared" si="14" ref="B64:I64">+B62-B63</f>
        <v>296.43</v>
      </c>
      <c r="C64" s="389">
        <f t="shared" si="14"/>
        <v>-33.19999999999999</v>
      </c>
      <c r="D64" s="390">
        <f t="shared" si="14"/>
        <v>263.23</v>
      </c>
      <c r="E64" s="389">
        <f t="shared" si="14"/>
        <v>59.08</v>
      </c>
      <c r="F64" s="389">
        <f t="shared" si="14"/>
        <v>-22.130000000000003</v>
      </c>
      <c r="G64" s="389">
        <f t="shared" si="14"/>
        <v>7.190000000000001</v>
      </c>
      <c r="H64" s="390">
        <f t="shared" si="14"/>
        <v>10.940000000000005</v>
      </c>
      <c r="I64" s="391">
        <f t="shared" si="14"/>
        <v>307.37</v>
      </c>
    </row>
    <row r="65" spans="1:9" ht="15">
      <c r="A65" s="148" t="s">
        <v>240</v>
      </c>
      <c r="B65" s="364">
        <f>63.48-841.77</f>
        <v>-778.29</v>
      </c>
      <c r="C65" s="364">
        <v>0</v>
      </c>
      <c r="D65" s="371">
        <f>+B65+C65</f>
        <v>-778.29</v>
      </c>
      <c r="E65" s="364">
        <v>0</v>
      </c>
      <c r="F65" s="365">
        <f>3.12</f>
        <v>3.12</v>
      </c>
      <c r="G65" s="365">
        <v>0</v>
      </c>
      <c r="H65" s="374">
        <f>+C65+E65+F65+G65</f>
        <v>3.12</v>
      </c>
      <c r="I65" s="376">
        <f>+B65+H65</f>
        <v>-775.17</v>
      </c>
    </row>
    <row r="66" spans="1:9" ht="16.5" thickBot="1">
      <c r="A66" s="368" t="s">
        <v>74</v>
      </c>
      <c r="B66" s="369">
        <f aca="true" t="shared" si="15" ref="B66:I66">+B64-B65</f>
        <v>1074.72</v>
      </c>
      <c r="C66" s="369">
        <f t="shared" si="15"/>
        <v>-33.19999999999999</v>
      </c>
      <c r="D66" s="373">
        <f t="shared" si="15"/>
        <v>1041.52</v>
      </c>
      <c r="E66" s="369">
        <f t="shared" si="15"/>
        <v>59.08</v>
      </c>
      <c r="F66" s="369">
        <f t="shared" si="15"/>
        <v>-25.250000000000004</v>
      </c>
      <c r="G66" s="369">
        <f t="shared" si="15"/>
        <v>7.190000000000001</v>
      </c>
      <c r="H66" s="373">
        <f t="shared" si="15"/>
        <v>7.820000000000005</v>
      </c>
      <c r="I66" s="378">
        <f t="shared" si="15"/>
        <v>1082.54</v>
      </c>
    </row>
    <row r="67" spans="2:9" ht="5.25" customHeight="1" thickTop="1">
      <c r="B67" s="150"/>
      <c r="C67" s="150"/>
      <c r="D67" s="150"/>
      <c r="E67" s="150"/>
      <c r="F67" s="370"/>
      <c r="G67" s="370"/>
      <c r="H67" s="370"/>
      <c r="I67" s="370"/>
    </row>
    <row r="68" ht="16.5" thickBot="1">
      <c r="A68" s="266" t="s">
        <v>237</v>
      </c>
    </row>
    <row r="69" spans="1:9" ht="16.5" thickBot="1">
      <c r="A69" s="379"/>
      <c r="B69" s="933" t="s">
        <v>210</v>
      </c>
      <c r="C69" s="934"/>
      <c r="D69" s="935"/>
      <c r="E69" s="933" t="s">
        <v>211</v>
      </c>
      <c r="F69" s="934"/>
      <c r="G69" s="934"/>
      <c r="H69" s="935"/>
      <c r="I69" s="392"/>
    </row>
    <row r="70" spans="1:9" ht="15.75">
      <c r="A70" s="380"/>
      <c r="B70" s="387" t="s">
        <v>223</v>
      </c>
      <c r="C70" s="363"/>
      <c r="D70" s="383"/>
      <c r="E70" s="388"/>
      <c r="F70" s="363"/>
      <c r="G70" s="363"/>
      <c r="H70" s="383"/>
      <c r="I70" s="393" t="s">
        <v>212</v>
      </c>
    </row>
    <row r="71" spans="1:9" ht="15.75">
      <c r="A71" s="380"/>
      <c r="B71" s="382"/>
      <c r="C71" s="363" t="s">
        <v>213</v>
      </c>
      <c r="D71" s="383" t="s">
        <v>76</v>
      </c>
      <c r="E71" s="382" t="s">
        <v>214</v>
      </c>
      <c r="F71" s="363" t="s">
        <v>215</v>
      </c>
      <c r="G71" s="363" t="s">
        <v>216</v>
      </c>
      <c r="H71" s="383" t="s">
        <v>76</v>
      </c>
      <c r="I71" s="393" t="s">
        <v>76</v>
      </c>
    </row>
    <row r="72" spans="1:9" ht="16.5" thickBot="1">
      <c r="A72" s="381" t="s">
        <v>217</v>
      </c>
      <c r="B72" s="384">
        <v>1</v>
      </c>
      <c r="C72" s="385">
        <v>2</v>
      </c>
      <c r="D72" s="386" t="s">
        <v>218</v>
      </c>
      <c r="E72" s="384">
        <v>4</v>
      </c>
      <c r="F72" s="385">
        <v>5</v>
      </c>
      <c r="G72" s="385">
        <v>6</v>
      </c>
      <c r="H72" s="386" t="s">
        <v>219</v>
      </c>
      <c r="I72" s="394" t="s">
        <v>220</v>
      </c>
    </row>
    <row r="73" spans="1:9" ht="15">
      <c r="A73" s="148" t="s">
        <v>90</v>
      </c>
      <c r="B73" s="364">
        <f>46.64+347</f>
        <v>393.64</v>
      </c>
      <c r="C73" s="364">
        <f>152.99-28.53</f>
        <v>124.46000000000001</v>
      </c>
      <c r="D73" s="371">
        <f>+B73+C73</f>
        <v>518.1</v>
      </c>
      <c r="E73" s="364">
        <v>76.05</v>
      </c>
      <c r="F73" s="365">
        <v>5.26</v>
      </c>
      <c r="G73" s="365">
        <v>14.71</v>
      </c>
      <c r="H73" s="374">
        <f>+C73+E73+F73+G73</f>
        <v>220.48</v>
      </c>
      <c r="I73" s="376">
        <f>+B73+H73</f>
        <v>614.12</v>
      </c>
    </row>
    <row r="74" spans="1:9" ht="15">
      <c r="A74" s="148" t="s">
        <v>238</v>
      </c>
      <c r="B74" s="366">
        <f>185.35-7.9</f>
        <v>177.45</v>
      </c>
      <c r="C74" s="366">
        <f>12.15+117.6</f>
        <v>129.75</v>
      </c>
      <c r="D74" s="372">
        <f>+B74+C74</f>
        <v>307.2</v>
      </c>
      <c r="E74" s="366">
        <v>26.66</v>
      </c>
      <c r="F74" s="367">
        <f>31.22-2.08</f>
        <v>29.14</v>
      </c>
      <c r="G74" s="367">
        <v>52.5</v>
      </c>
      <c r="H74" s="375">
        <f>+C74+E74+F74+G74</f>
        <v>238.05</v>
      </c>
      <c r="I74" s="377">
        <f>+B74+H74</f>
        <v>415.5</v>
      </c>
    </row>
    <row r="75" spans="1:9" ht="15.75">
      <c r="A75" s="148"/>
      <c r="B75" s="389">
        <f aca="true" t="shared" si="16" ref="B75:I75">+B73-B74</f>
        <v>216.19</v>
      </c>
      <c r="C75" s="389">
        <f t="shared" si="16"/>
        <v>-5.289999999999992</v>
      </c>
      <c r="D75" s="390">
        <f t="shared" si="16"/>
        <v>210.90000000000003</v>
      </c>
      <c r="E75" s="389">
        <f t="shared" si="16"/>
        <v>49.39</v>
      </c>
      <c r="F75" s="389">
        <f t="shared" si="16"/>
        <v>-23.880000000000003</v>
      </c>
      <c r="G75" s="389">
        <f t="shared" si="16"/>
        <v>-37.79</v>
      </c>
      <c r="H75" s="390">
        <f t="shared" si="16"/>
        <v>-17.57000000000002</v>
      </c>
      <c r="I75" s="391">
        <f t="shared" si="16"/>
        <v>198.62</v>
      </c>
    </row>
    <row r="76" spans="1:9" ht="15">
      <c r="A76" s="148" t="s">
        <v>239</v>
      </c>
      <c r="B76" s="366">
        <v>0</v>
      </c>
      <c r="C76" s="366">
        <v>26.81</v>
      </c>
      <c r="D76" s="372">
        <f>+B76+C76</f>
        <v>26.81</v>
      </c>
      <c r="E76" s="366">
        <v>0.13</v>
      </c>
      <c r="F76" s="367">
        <v>0.94</v>
      </c>
      <c r="G76" s="367">
        <v>5.62</v>
      </c>
      <c r="H76" s="375">
        <f>+C76+E76+F76+G76</f>
        <v>33.5</v>
      </c>
      <c r="I76" s="377">
        <f>+B76+H76</f>
        <v>33.5</v>
      </c>
    </row>
    <row r="77" spans="1:9" ht="15.75">
      <c r="A77" s="362" t="s">
        <v>221</v>
      </c>
      <c r="B77" s="389">
        <f aca="true" t="shared" si="17" ref="B77:I77">+B75-B76</f>
        <v>216.19</v>
      </c>
      <c r="C77" s="389">
        <f t="shared" si="17"/>
        <v>-32.099999999999994</v>
      </c>
      <c r="D77" s="390">
        <f t="shared" si="17"/>
        <v>184.09000000000003</v>
      </c>
      <c r="E77" s="389">
        <f t="shared" si="17"/>
        <v>49.26</v>
      </c>
      <c r="F77" s="389">
        <f t="shared" si="17"/>
        <v>-24.820000000000004</v>
      </c>
      <c r="G77" s="389">
        <f t="shared" si="17"/>
        <v>-43.41</v>
      </c>
      <c r="H77" s="390">
        <f t="shared" si="17"/>
        <v>-51.07000000000002</v>
      </c>
      <c r="I77" s="391">
        <f t="shared" si="17"/>
        <v>165.12</v>
      </c>
    </row>
    <row r="78" spans="1:9" ht="15">
      <c r="A78" s="148" t="s">
        <v>240</v>
      </c>
      <c r="B78" s="364">
        <f>-559+37.07</f>
        <v>-521.93</v>
      </c>
      <c r="C78" s="364">
        <v>0</v>
      </c>
      <c r="D78" s="371">
        <f>+B78+C78</f>
        <v>-521.93</v>
      </c>
      <c r="E78" s="364">
        <v>0</v>
      </c>
      <c r="F78" s="365">
        <v>2.08</v>
      </c>
      <c r="G78" s="365">
        <v>0</v>
      </c>
      <c r="H78" s="374">
        <f>+C78+E78+F78+G78</f>
        <v>2.08</v>
      </c>
      <c r="I78" s="376">
        <f>+B78+H78</f>
        <v>-519.8499999999999</v>
      </c>
    </row>
    <row r="79" spans="1:9" ht="16.5" thickBot="1">
      <c r="A79" s="368" t="s">
        <v>74</v>
      </c>
      <c r="B79" s="369">
        <f aca="true" t="shared" si="18" ref="B79:I79">+B77-B78</f>
        <v>738.1199999999999</v>
      </c>
      <c r="C79" s="369">
        <f t="shared" si="18"/>
        <v>-32.099999999999994</v>
      </c>
      <c r="D79" s="373">
        <f t="shared" si="18"/>
        <v>706.02</v>
      </c>
      <c r="E79" s="369">
        <f t="shared" si="18"/>
        <v>49.26</v>
      </c>
      <c r="F79" s="369">
        <f t="shared" si="18"/>
        <v>-26.900000000000006</v>
      </c>
      <c r="G79" s="369">
        <f t="shared" si="18"/>
        <v>-43.41</v>
      </c>
      <c r="H79" s="373">
        <f t="shared" si="18"/>
        <v>-53.15000000000002</v>
      </c>
      <c r="I79" s="378">
        <f t="shared" si="18"/>
        <v>684.9699999999999</v>
      </c>
    </row>
    <row r="80" spans="2:9" ht="5.25" customHeight="1" thickTop="1">
      <c r="B80" s="150"/>
      <c r="C80" s="150"/>
      <c r="D80" s="150"/>
      <c r="E80" s="150"/>
      <c r="F80" s="370"/>
      <c r="G80" s="370"/>
      <c r="H80" s="370"/>
      <c r="I80" s="370"/>
    </row>
    <row r="81" ht="16.5" thickBot="1">
      <c r="A81" s="266" t="s">
        <v>329</v>
      </c>
    </row>
    <row r="82" spans="1:9" ht="16.5" thickBot="1">
      <c r="A82" s="379"/>
      <c r="B82" s="933" t="s">
        <v>210</v>
      </c>
      <c r="C82" s="934"/>
      <c r="D82" s="935"/>
      <c r="E82" s="933" t="s">
        <v>211</v>
      </c>
      <c r="F82" s="934"/>
      <c r="G82" s="934"/>
      <c r="H82" s="935"/>
      <c r="I82" s="392"/>
    </row>
    <row r="83" spans="1:9" ht="15.75">
      <c r="A83" s="380"/>
      <c r="B83" s="387" t="s">
        <v>223</v>
      </c>
      <c r="C83" s="363"/>
      <c r="D83" s="383"/>
      <c r="E83" s="388"/>
      <c r="F83" s="363"/>
      <c r="G83" s="363"/>
      <c r="H83" s="383"/>
      <c r="I83" s="393" t="s">
        <v>212</v>
      </c>
    </row>
    <row r="84" spans="1:9" ht="15.75">
      <c r="A84" s="380"/>
      <c r="B84" s="382"/>
      <c r="C84" s="363" t="s">
        <v>213</v>
      </c>
      <c r="D84" s="383" t="s">
        <v>76</v>
      </c>
      <c r="E84" s="382" t="s">
        <v>214</v>
      </c>
      <c r="F84" s="363" t="s">
        <v>215</v>
      </c>
      <c r="G84" s="363" t="s">
        <v>216</v>
      </c>
      <c r="H84" s="383" t="s">
        <v>76</v>
      </c>
      <c r="I84" s="393" t="s">
        <v>76</v>
      </c>
    </row>
    <row r="85" spans="1:9" ht="16.5" thickBot="1">
      <c r="A85" s="381" t="s">
        <v>217</v>
      </c>
      <c r="B85" s="384">
        <v>1</v>
      </c>
      <c r="C85" s="385">
        <v>2</v>
      </c>
      <c r="D85" s="386" t="s">
        <v>218</v>
      </c>
      <c r="E85" s="384">
        <v>4</v>
      </c>
      <c r="F85" s="385">
        <v>5</v>
      </c>
      <c r="G85" s="385">
        <v>6</v>
      </c>
      <c r="H85" s="386" t="s">
        <v>219</v>
      </c>
      <c r="I85" s="394" t="s">
        <v>220</v>
      </c>
    </row>
    <row r="86" spans="1:9" ht="15">
      <c r="A86" s="148" t="s">
        <v>90</v>
      </c>
      <c r="B86" s="364">
        <f>+B60-B73</f>
        <v>163.96000000000004</v>
      </c>
      <c r="C86" s="364">
        <f>+C60-C73</f>
        <v>107.06</v>
      </c>
      <c r="D86" s="371">
        <f>+B86+C86</f>
        <v>271.02000000000004</v>
      </c>
      <c r="E86" s="364">
        <f aca="true" t="shared" si="19" ref="E86:G87">+E60-E73</f>
        <v>19.11</v>
      </c>
      <c r="F86" s="364">
        <f t="shared" si="19"/>
        <v>8.33</v>
      </c>
      <c r="G86" s="364">
        <f t="shared" si="19"/>
        <v>7.109999999999999</v>
      </c>
      <c r="H86" s="374">
        <f>+C86+E86+F86+G86</f>
        <v>141.61</v>
      </c>
      <c r="I86" s="376">
        <f>+B86+H86</f>
        <v>305.57000000000005</v>
      </c>
    </row>
    <row r="87" spans="1:9" ht="15">
      <c r="A87" s="148" t="s">
        <v>238</v>
      </c>
      <c r="B87" s="366">
        <f>+B61-B74</f>
        <v>83.72000000000003</v>
      </c>
      <c r="C87" s="366">
        <f>+C61-C74</f>
        <v>94.38</v>
      </c>
      <c r="D87" s="372">
        <f>+B87+C87</f>
        <v>178.10000000000002</v>
      </c>
      <c r="E87" s="366">
        <f t="shared" si="19"/>
        <v>9.23</v>
      </c>
      <c r="F87" s="366">
        <f t="shared" si="19"/>
        <v>5.170000000000002</v>
      </c>
      <c r="G87" s="366">
        <f t="shared" si="19"/>
        <v>-46.3</v>
      </c>
      <c r="H87" s="375">
        <f>+C87+E87+F87+G87</f>
        <v>62.480000000000004</v>
      </c>
      <c r="I87" s="377">
        <f>+B87+H87</f>
        <v>146.20000000000005</v>
      </c>
    </row>
    <row r="88" spans="1:9" ht="15.75">
      <c r="A88" s="148"/>
      <c r="B88" s="389">
        <f aca="true" t="shared" si="20" ref="B88:I88">+B86-B87</f>
        <v>80.24000000000001</v>
      </c>
      <c r="C88" s="389">
        <f t="shared" si="20"/>
        <v>12.680000000000007</v>
      </c>
      <c r="D88" s="390">
        <f t="shared" si="20"/>
        <v>92.92000000000002</v>
      </c>
      <c r="E88" s="389">
        <f t="shared" si="20"/>
        <v>9.879999999999999</v>
      </c>
      <c r="F88" s="389">
        <f t="shared" si="20"/>
        <v>3.1599999999999984</v>
      </c>
      <c r="G88" s="389">
        <f t="shared" si="20"/>
        <v>53.41</v>
      </c>
      <c r="H88" s="390">
        <f t="shared" si="20"/>
        <v>79.13000000000001</v>
      </c>
      <c r="I88" s="391">
        <f t="shared" si="20"/>
        <v>159.37</v>
      </c>
    </row>
    <row r="89" spans="1:9" ht="15">
      <c r="A89" s="148" t="s">
        <v>239</v>
      </c>
      <c r="B89" s="366">
        <f>+B63-B76</f>
        <v>0</v>
      </c>
      <c r="C89" s="366">
        <f>+C63-C76</f>
        <v>13.780000000000005</v>
      </c>
      <c r="D89" s="372">
        <f>+B89+C89</f>
        <v>13.780000000000005</v>
      </c>
      <c r="E89" s="366">
        <f>+E63-E76</f>
        <v>0.06</v>
      </c>
      <c r="F89" s="366">
        <f>+F63-F76</f>
        <v>0.47</v>
      </c>
      <c r="G89" s="366">
        <f>+G63-G76</f>
        <v>2.8099999999999996</v>
      </c>
      <c r="H89" s="375">
        <f>+C89+E89+F89+G89</f>
        <v>17.120000000000005</v>
      </c>
      <c r="I89" s="377">
        <f>+B89+H89</f>
        <v>17.120000000000005</v>
      </c>
    </row>
    <row r="90" spans="1:9" ht="15.75">
      <c r="A90" s="362" t="s">
        <v>221</v>
      </c>
      <c r="B90" s="389">
        <f aca="true" t="shared" si="21" ref="B90:I90">+B88-B89</f>
        <v>80.24000000000001</v>
      </c>
      <c r="C90" s="389">
        <f t="shared" si="21"/>
        <v>-1.0999999999999979</v>
      </c>
      <c r="D90" s="390">
        <f t="shared" si="21"/>
        <v>79.14000000000001</v>
      </c>
      <c r="E90" s="389">
        <f t="shared" si="21"/>
        <v>9.819999999999999</v>
      </c>
      <c r="F90" s="389">
        <f t="shared" si="21"/>
        <v>2.6899999999999986</v>
      </c>
      <c r="G90" s="389">
        <f t="shared" si="21"/>
        <v>50.599999999999994</v>
      </c>
      <c r="H90" s="390">
        <f t="shared" si="21"/>
        <v>62.010000000000005</v>
      </c>
      <c r="I90" s="391">
        <f t="shared" si="21"/>
        <v>142.25</v>
      </c>
    </row>
    <row r="91" spans="1:9" ht="15">
      <c r="A91" s="148" t="s">
        <v>240</v>
      </c>
      <c r="B91" s="364">
        <f>+B65-B78</f>
        <v>-256.36</v>
      </c>
      <c r="C91" s="364">
        <f>+C65-C78</f>
        <v>0</v>
      </c>
      <c r="D91" s="371">
        <f>+B91+C91</f>
        <v>-256.36</v>
      </c>
      <c r="E91" s="364">
        <f>+E65-E78</f>
        <v>0</v>
      </c>
      <c r="F91" s="364">
        <f>+F65-F78</f>
        <v>1.04</v>
      </c>
      <c r="G91" s="364">
        <f>+G65-G78</f>
        <v>0</v>
      </c>
      <c r="H91" s="374">
        <f>+C91+E91+F91+G91</f>
        <v>1.04</v>
      </c>
      <c r="I91" s="376">
        <f>+B91+H91</f>
        <v>-255.32000000000002</v>
      </c>
    </row>
    <row r="92" spans="1:9" ht="16.5" thickBot="1">
      <c r="A92" s="368" t="s">
        <v>74</v>
      </c>
      <c r="B92" s="369">
        <f aca="true" t="shared" si="22" ref="B92:I92">+B90-B91</f>
        <v>336.6</v>
      </c>
      <c r="C92" s="369">
        <f t="shared" si="22"/>
        <v>-1.0999999999999979</v>
      </c>
      <c r="D92" s="373">
        <f t="shared" si="22"/>
        <v>335.5</v>
      </c>
      <c r="E92" s="369">
        <f t="shared" si="22"/>
        <v>9.819999999999999</v>
      </c>
      <c r="F92" s="369">
        <f t="shared" si="22"/>
        <v>1.6499999999999986</v>
      </c>
      <c r="G92" s="369">
        <f t="shared" si="22"/>
        <v>50.599999999999994</v>
      </c>
      <c r="H92" s="373">
        <f t="shared" si="22"/>
        <v>60.970000000000006</v>
      </c>
      <c r="I92" s="378">
        <f t="shared" si="22"/>
        <v>397.57000000000005</v>
      </c>
    </row>
    <row r="93" spans="6:9" ht="15.75" thickTop="1">
      <c r="F93" s="110"/>
      <c r="G93" s="110"/>
      <c r="H93" s="110"/>
      <c r="I93" s="110"/>
    </row>
    <row r="94" spans="2:9" ht="15">
      <c r="B94" s="150"/>
      <c r="C94" s="150"/>
      <c r="D94" s="150"/>
      <c r="E94" s="150"/>
      <c r="F94" s="370"/>
      <c r="G94" s="370"/>
      <c r="H94" s="370"/>
      <c r="I94" s="370"/>
    </row>
    <row r="95" spans="6:9" ht="15">
      <c r="F95" s="110"/>
      <c r="G95" s="110"/>
      <c r="H95" s="110"/>
      <c r="I95" s="110"/>
    </row>
    <row r="96" spans="6:9" ht="15">
      <c r="F96" s="110"/>
      <c r="G96" s="110"/>
      <c r="H96" s="110"/>
      <c r="I96" s="110"/>
    </row>
    <row r="97" spans="6:9" ht="15">
      <c r="F97" s="110"/>
      <c r="G97" s="110"/>
      <c r="H97" s="110"/>
      <c r="I97" s="110"/>
    </row>
    <row r="98" spans="6:9" ht="15">
      <c r="F98" s="110"/>
      <c r="G98" s="110"/>
      <c r="H98" s="110"/>
      <c r="I98" s="110"/>
    </row>
    <row r="99" spans="6:9" ht="15">
      <c r="F99" s="110"/>
      <c r="G99" s="110"/>
      <c r="H99" s="110"/>
      <c r="I99" s="110"/>
    </row>
    <row r="100" spans="6:9" ht="15">
      <c r="F100" s="110"/>
      <c r="G100" s="110"/>
      <c r="H100" s="110"/>
      <c r="I100" s="110"/>
    </row>
    <row r="101" spans="6:9" ht="15">
      <c r="F101" s="110"/>
      <c r="G101" s="110"/>
      <c r="H101" s="110"/>
      <c r="I101" s="110"/>
    </row>
    <row r="102" spans="6:9" ht="15">
      <c r="F102" s="110"/>
      <c r="G102" s="110"/>
      <c r="H102" s="110"/>
      <c r="I102" s="110"/>
    </row>
    <row r="103" spans="6:9" ht="15">
      <c r="F103" s="110"/>
      <c r="G103" s="110"/>
      <c r="H103" s="110"/>
      <c r="I103" s="110"/>
    </row>
    <row r="104" spans="6:9" ht="15">
      <c r="F104" s="110"/>
      <c r="G104" s="110"/>
      <c r="H104" s="110"/>
      <c r="I104" s="110"/>
    </row>
    <row r="105" spans="6:9" ht="15">
      <c r="F105" s="110"/>
      <c r="G105" s="110"/>
      <c r="H105" s="110"/>
      <c r="I105" s="110"/>
    </row>
    <row r="106" spans="6:9" ht="15">
      <c r="F106" s="110"/>
      <c r="G106" s="110"/>
      <c r="H106" s="110"/>
      <c r="I106" s="110"/>
    </row>
    <row r="107" spans="6:9" ht="15">
      <c r="F107" s="110"/>
      <c r="G107" s="110"/>
      <c r="H107" s="110"/>
      <c r="I107" s="110"/>
    </row>
    <row r="108" spans="6:9" ht="15">
      <c r="F108" s="110"/>
      <c r="G108" s="110"/>
      <c r="H108" s="110"/>
      <c r="I108" s="110"/>
    </row>
    <row r="109" spans="6:9" ht="15">
      <c r="F109" s="110"/>
      <c r="G109" s="110"/>
      <c r="H109" s="110"/>
      <c r="I109" s="110"/>
    </row>
    <row r="110" spans="6:9" ht="15">
      <c r="F110" s="110"/>
      <c r="G110" s="110"/>
      <c r="H110" s="110"/>
      <c r="I110" s="110"/>
    </row>
    <row r="111" spans="6:9" ht="15">
      <c r="F111" s="110"/>
      <c r="G111" s="110"/>
      <c r="H111" s="110"/>
      <c r="I111" s="110"/>
    </row>
    <row r="112" spans="6:9" ht="15">
      <c r="F112" s="110"/>
      <c r="G112" s="110"/>
      <c r="H112" s="110"/>
      <c r="I112" s="110"/>
    </row>
  </sheetData>
  <mergeCells count="14">
    <mergeCell ref="B82:D82"/>
    <mergeCell ref="E82:H82"/>
    <mergeCell ref="B17:D17"/>
    <mergeCell ref="E17:H17"/>
    <mergeCell ref="B56:D56"/>
    <mergeCell ref="E56:H56"/>
    <mergeCell ref="B43:D43"/>
    <mergeCell ref="E43:H43"/>
    <mergeCell ref="B69:D69"/>
    <mergeCell ref="E69:H69"/>
    <mergeCell ref="B4:D4"/>
    <mergeCell ref="E4:H4"/>
    <mergeCell ref="B30:D30"/>
    <mergeCell ref="E30:H30"/>
  </mergeCells>
  <printOptions/>
  <pageMargins left="1.29" right="0.5" top="0.37" bottom="0.26" header="0.4" footer="0.25"/>
  <pageSetup horizontalDpi="300" verticalDpi="300" orientation="landscape" scale="95" r:id="rId3"/>
  <rowBreaks count="3" manualBreakCount="3">
    <brk id="15" max="255" man="1"/>
    <brk id="53" max="255" man="1"/>
    <brk id="93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516"/>
  <sheetViews>
    <sheetView zoomScale="80" zoomScaleNormal="80" workbookViewId="0" topLeftCell="C1">
      <selection activeCell="E11" sqref="E11"/>
    </sheetView>
  </sheetViews>
  <sheetFormatPr defaultColWidth="8.88671875" defaultRowHeight="15.75"/>
  <cols>
    <col min="1" max="1" width="4.5546875" style="18" customWidth="1"/>
    <col min="2" max="2" width="0.3359375" style="10" hidden="1" customWidth="1"/>
    <col min="3" max="3" width="30.5546875" style="10" customWidth="1"/>
    <col min="4" max="4" width="12.21484375" style="10" bestFit="1" customWidth="1"/>
    <col min="5" max="5" width="12.77734375" style="10" customWidth="1"/>
    <col min="6" max="6" width="12.21484375" style="10" customWidth="1"/>
    <col min="7" max="7" width="11.88671875" style="10" customWidth="1"/>
    <col min="8" max="8" width="13.3359375" style="10" customWidth="1"/>
    <col min="9" max="9" width="0.55078125" style="10" hidden="1" customWidth="1"/>
    <col min="10" max="10" width="8.77734375" style="10" bestFit="1" customWidth="1"/>
    <col min="11" max="11" width="3.6640625" style="10" customWidth="1"/>
    <col min="12" max="12" width="7.88671875" style="10" customWidth="1"/>
    <col min="13" max="13" width="0.78125" style="10" customWidth="1"/>
    <col min="14" max="14" width="8.77734375" style="10" customWidth="1"/>
    <col min="15" max="15" width="0.78125" style="10" customWidth="1"/>
    <col min="16" max="16" width="8.77734375" style="10" customWidth="1"/>
    <col min="17" max="17" width="0.78125" style="10" customWidth="1"/>
    <col min="18" max="16384" width="8.77734375" style="10" customWidth="1"/>
  </cols>
  <sheetData>
    <row r="1" ht="11.25" customHeight="1"/>
    <row r="2" spans="3:8" ht="18.75">
      <c r="C2" s="183" t="s">
        <v>92</v>
      </c>
      <c r="D2" s="184" t="s">
        <v>93</v>
      </c>
      <c r="E2" s="185">
        <v>2004</v>
      </c>
      <c r="F2" s="183"/>
      <c r="G2" s="184" t="s">
        <v>94</v>
      </c>
      <c r="H2" s="186" t="s">
        <v>252</v>
      </c>
    </row>
    <row r="3" ht="3" customHeight="1"/>
    <row r="4" ht="16.5" thickBot="1">
      <c r="E4" s="26" t="s">
        <v>81</v>
      </c>
    </row>
    <row r="5" spans="1:13" ht="15.75" customHeight="1">
      <c r="A5" s="187"/>
      <c r="B5" s="188"/>
      <c r="C5" s="188"/>
      <c r="D5" s="189" t="s">
        <v>195</v>
      </c>
      <c r="E5" s="616" t="s">
        <v>254</v>
      </c>
      <c r="F5" s="189" t="s">
        <v>95</v>
      </c>
      <c r="G5" s="616" t="s">
        <v>95</v>
      </c>
      <c r="H5" s="628" t="s">
        <v>258</v>
      </c>
      <c r="K5" s="39"/>
      <c r="M5" s="4"/>
    </row>
    <row r="6" spans="1:12" ht="17.25" customHeight="1">
      <c r="A6" s="190"/>
      <c r="B6" s="191"/>
      <c r="C6" s="192"/>
      <c r="D6" s="193" t="s">
        <v>5</v>
      </c>
      <c r="E6" s="617" t="s">
        <v>255</v>
      </c>
      <c r="F6" s="282" t="s">
        <v>96</v>
      </c>
      <c r="G6" s="626" t="s">
        <v>96</v>
      </c>
      <c r="H6" s="629" t="s">
        <v>287</v>
      </c>
      <c r="L6" s="33"/>
    </row>
    <row r="7" spans="1:13" ht="17.25" customHeight="1">
      <c r="A7" s="190"/>
      <c r="B7" s="191"/>
      <c r="C7" s="191"/>
      <c r="D7" s="193" t="s">
        <v>257</v>
      </c>
      <c r="E7" s="617" t="s">
        <v>97</v>
      </c>
      <c r="F7" s="282" t="s">
        <v>257</v>
      </c>
      <c r="G7" s="626" t="s">
        <v>97</v>
      </c>
      <c r="H7" s="629" t="s">
        <v>286</v>
      </c>
      <c r="L7" s="33"/>
      <c r="M7" s="6"/>
    </row>
    <row r="8" spans="1:13" ht="17.25" customHeight="1">
      <c r="A8" s="190"/>
      <c r="B8" s="191"/>
      <c r="C8" s="191"/>
      <c r="D8" s="193"/>
      <c r="E8" s="617"/>
      <c r="F8" s="282"/>
      <c r="G8" s="626"/>
      <c r="H8" s="629"/>
      <c r="L8" s="33"/>
      <c r="M8" s="6"/>
    </row>
    <row r="9" spans="1:13" ht="17.25" customHeight="1" thickBot="1">
      <c r="A9" s="194" t="s">
        <v>98</v>
      </c>
      <c r="B9" s="195"/>
      <c r="C9" s="196" t="s">
        <v>56</v>
      </c>
      <c r="D9" s="197" t="s">
        <v>253</v>
      </c>
      <c r="E9" s="618" t="s">
        <v>256</v>
      </c>
      <c r="F9" s="197" t="s">
        <v>253</v>
      </c>
      <c r="G9" s="627" t="s">
        <v>256</v>
      </c>
      <c r="H9" s="630" t="s">
        <v>157</v>
      </c>
      <c r="L9" s="33"/>
      <c r="M9" s="6"/>
    </row>
    <row r="10" spans="1:13" ht="18" customHeight="1">
      <c r="A10" s="199"/>
      <c r="B10" s="200"/>
      <c r="C10" s="200" t="s">
        <v>99</v>
      </c>
      <c r="D10" s="201" t="s">
        <v>100</v>
      </c>
      <c r="E10" s="619" t="s">
        <v>100</v>
      </c>
      <c r="F10" s="201" t="s">
        <v>100</v>
      </c>
      <c r="G10" s="619" t="s">
        <v>100</v>
      </c>
      <c r="H10" s="631" t="s">
        <v>6</v>
      </c>
      <c r="L10" s="34"/>
      <c r="M10" s="20"/>
    </row>
    <row r="11" spans="1:13" ht="24.75" customHeight="1">
      <c r="A11" s="202" t="s">
        <v>101</v>
      </c>
      <c r="B11" s="203"/>
      <c r="C11" s="204" t="s">
        <v>14</v>
      </c>
      <c r="D11" s="523" t="e">
        <f>+#REF!</f>
        <v>#REF!</v>
      </c>
      <c r="E11" s="620" t="e">
        <f>+#REF!</f>
        <v>#REF!</v>
      </c>
      <c r="F11" s="523" t="e">
        <f>+#REF!</f>
        <v>#REF!</v>
      </c>
      <c r="G11" s="620" t="e">
        <f>+#REF!</f>
        <v>#REF!</v>
      </c>
      <c r="H11" s="632" t="e">
        <f>+#REF!</f>
        <v>#REF!</v>
      </c>
      <c r="L11" s="8"/>
      <c r="M11" s="6"/>
    </row>
    <row r="12" spans="1:13" ht="24" customHeight="1">
      <c r="A12" s="206" t="s">
        <v>102</v>
      </c>
      <c r="B12" s="203"/>
      <c r="C12" s="204" t="s">
        <v>17</v>
      </c>
      <c r="D12" s="523" t="e">
        <f>+#REF!+#REF!</f>
        <v>#REF!</v>
      </c>
      <c r="E12" s="620" t="e">
        <f>+#REF!+#REF!</f>
        <v>#REF!</v>
      </c>
      <c r="F12" s="523" t="e">
        <f>+#REF!+#REF!</f>
        <v>#REF!</v>
      </c>
      <c r="G12" s="620" t="e">
        <f>+#REF!+#REF!</f>
        <v>#REF!</v>
      </c>
      <c r="H12" s="632" t="e">
        <f>+#REF!+#REF!</f>
        <v>#REF!</v>
      </c>
      <c r="L12" s="35"/>
      <c r="M12" s="6"/>
    </row>
    <row r="13" spans="1:13" ht="24" customHeight="1">
      <c r="A13" s="202" t="s">
        <v>103</v>
      </c>
      <c r="B13" s="203"/>
      <c r="C13" s="210" t="s">
        <v>57</v>
      </c>
      <c r="D13" s="664" t="e">
        <f>+D36</f>
        <v>#REF!</v>
      </c>
      <c r="E13" s="665" t="e">
        <f>+E36</f>
        <v>#REF!</v>
      </c>
      <c r="F13" s="664" t="e">
        <f>+F36</f>
        <v>#REF!</v>
      </c>
      <c r="G13" s="665" t="e">
        <f>+G36</f>
        <v>#REF!</v>
      </c>
      <c r="H13" s="666" t="e">
        <f>+H36</f>
        <v>#REF!</v>
      </c>
      <c r="L13" s="8"/>
      <c r="M13" s="6"/>
    </row>
    <row r="14" spans="1:14" ht="24" customHeight="1">
      <c r="A14" s="202" t="s">
        <v>104</v>
      </c>
      <c r="B14" s="203"/>
      <c r="C14" s="204" t="s">
        <v>58</v>
      </c>
      <c r="D14" s="523" t="e">
        <f>+#REF!</f>
        <v>#REF!</v>
      </c>
      <c r="E14" s="620" t="e">
        <f>+#REF!</f>
        <v>#REF!</v>
      </c>
      <c r="F14" s="523" t="e">
        <f>+#REF!</f>
        <v>#REF!</v>
      </c>
      <c r="G14" s="620" t="e">
        <f>+#REF!</f>
        <v>#REF!</v>
      </c>
      <c r="H14" s="632" t="e">
        <f>+#REF!</f>
        <v>#REF!</v>
      </c>
      <c r="K14" s="83"/>
      <c r="L14" s="207"/>
      <c r="M14" s="84"/>
      <c r="N14" s="83"/>
    </row>
    <row r="15" spans="1:13" ht="24" customHeight="1">
      <c r="A15" s="202" t="s">
        <v>105</v>
      </c>
      <c r="B15" s="203"/>
      <c r="C15" s="204" t="s">
        <v>67</v>
      </c>
      <c r="D15" s="523" t="e">
        <f>+#REF!</f>
        <v>#REF!</v>
      </c>
      <c r="E15" s="620" t="e">
        <f>+#REF!</f>
        <v>#REF!</v>
      </c>
      <c r="F15" s="523" t="e">
        <f>+#REF!</f>
        <v>#REF!</v>
      </c>
      <c r="G15" s="620" t="e">
        <f>+#REF!</f>
        <v>#REF!</v>
      </c>
      <c r="H15" s="632" t="e">
        <f>+#REF!</f>
        <v>#REF!</v>
      </c>
      <c r="L15" s="35"/>
      <c r="M15" s="6"/>
    </row>
    <row r="16" spans="1:13" ht="24" customHeight="1">
      <c r="A16" s="202" t="s">
        <v>106</v>
      </c>
      <c r="B16" s="203"/>
      <c r="C16" s="208" t="s">
        <v>107</v>
      </c>
      <c r="D16" s="209" t="e">
        <f>+D11+D12-D13-D14-D15</f>
        <v>#REF!</v>
      </c>
      <c r="E16" s="621" t="e">
        <f>+E11+E12-E13-E14-E15</f>
        <v>#REF!</v>
      </c>
      <c r="F16" s="209" t="e">
        <f>+F11+F12-F13-F14-F15</f>
        <v>#REF!</v>
      </c>
      <c r="G16" s="621" t="e">
        <f>+G11+G12-G13-G14-G15</f>
        <v>#REF!</v>
      </c>
      <c r="H16" s="633" t="e">
        <f>+H11+H12-H13-H14-H15</f>
        <v>#REF!</v>
      </c>
      <c r="K16" s="11"/>
      <c r="L16" s="35"/>
      <c r="M16" s="6"/>
    </row>
    <row r="17" spans="1:13" ht="24" customHeight="1">
      <c r="A17" s="202" t="s">
        <v>108</v>
      </c>
      <c r="B17" s="203"/>
      <c r="C17" s="203" t="s">
        <v>109</v>
      </c>
      <c r="D17" s="523" t="e">
        <f>+#REF!+#REF!+#REF!</f>
        <v>#REF!</v>
      </c>
      <c r="E17" s="620" t="e">
        <f>+#REF!+#REF!+#REF!</f>
        <v>#REF!</v>
      </c>
      <c r="F17" s="523" t="e">
        <f>+#REF!+#REF!+#REF!</f>
        <v>#REF!</v>
      </c>
      <c r="G17" s="620" t="e">
        <f>+#REF!+#REF!+#REF!</f>
        <v>#REF!</v>
      </c>
      <c r="H17" s="632" t="e">
        <f>+#REF!+#REF!+#REF!</f>
        <v>#REF!</v>
      </c>
      <c r="J17" s="4"/>
      <c r="L17" s="35"/>
      <c r="M17" s="6"/>
    </row>
    <row r="18" spans="1:13" ht="24" customHeight="1">
      <c r="A18" s="202" t="s">
        <v>110</v>
      </c>
      <c r="B18" s="203"/>
      <c r="C18" s="210" t="s">
        <v>111</v>
      </c>
      <c r="D18" s="209" t="e">
        <f>+D16-D17</f>
        <v>#REF!</v>
      </c>
      <c r="E18" s="621" t="e">
        <f>+E16-E17</f>
        <v>#REF!</v>
      </c>
      <c r="F18" s="209" t="e">
        <f>+F16-F17</f>
        <v>#REF!</v>
      </c>
      <c r="G18" s="621" t="e">
        <f>+G16-G17</f>
        <v>#REF!</v>
      </c>
      <c r="H18" s="633" t="e">
        <f>+H16-H17</f>
        <v>#REF!</v>
      </c>
      <c r="L18" s="8"/>
      <c r="M18" s="20"/>
    </row>
    <row r="19" spans="1:13" ht="24" customHeight="1">
      <c r="A19" s="206" t="s">
        <v>112</v>
      </c>
      <c r="B19" s="203"/>
      <c r="C19" s="211" t="s">
        <v>113</v>
      </c>
      <c r="D19" s="212" t="e">
        <f>+#REF!</f>
        <v>#REF!</v>
      </c>
      <c r="E19" s="622" t="e">
        <f>+#REF!</f>
        <v>#REF!</v>
      </c>
      <c r="F19" s="212" t="e">
        <f>+#REF!</f>
        <v>#REF!</v>
      </c>
      <c r="G19" s="622" t="e">
        <f>+#REF!</f>
        <v>#REF!</v>
      </c>
      <c r="H19" s="634" t="e">
        <f>+#REF!</f>
        <v>#REF!</v>
      </c>
      <c r="L19" s="213"/>
      <c r="M19" s="6"/>
    </row>
    <row r="20" spans="1:13" ht="24" customHeight="1">
      <c r="A20" s="206" t="s">
        <v>114</v>
      </c>
      <c r="B20" s="203"/>
      <c r="C20" s="211" t="s">
        <v>115</v>
      </c>
      <c r="D20" s="214"/>
      <c r="E20" s="623"/>
      <c r="F20" s="215"/>
      <c r="G20" s="215"/>
      <c r="H20" s="635" t="e">
        <f>+#REF!</f>
        <v>#REF!</v>
      </c>
      <c r="K20" s="2"/>
      <c r="L20" s="32"/>
      <c r="M20" s="6"/>
    </row>
    <row r="21" spans="1:12" ht="24" customHeight="1">
      <c r="A21" s="206" t="s">
        <v>116</v>
      </c>
      <c r="B21" s="216"/>
      <c r="C21" s="217" t="s">
        <v>117</v>
      </c>
      <c r="D21" s="218" t="e">
        <f>+D18/D19*10</f>
        <v>#REF!</v>
      </c>
      <c r="E21" s="624" t="e">
        <f>+E18/E19*10</f>
        <v>#REF!</v>
      </c>
      <c r="F21" s="218" t="e">
        <f>+F18/F19*10</f>
        <v>#REF!</v>
      </c>
      <c r="G21" s="624" t="e">
        <f>+G18/G19*10</f>
        <v>#REF!</v>
      </c>
      <c r="H21" s="636" t="e">
        <f>+H18/H19*10</f>
        <v>#REF!</v>
      </c>
      <c r="L21" s="219"/>
    </row>
    <row r="22" spans="1:12" ht="24" customHeight="1" thickBot="1">
      <c r="A22" s="220" t="s">
        <v>118</v>
      </c>
      <c r="B22" s="221"/>
      <c r="C22" s="222" t="s">
        <v>119</v>
      </c>
      <c r="D22" s="223" t="e">
        <f>+D18/D19*10</f>
        <v>#REF!</v>
      </c>
      <c r="E22" s="625" t="e">
        <f>+E18/E19*10</f>
        <v>#REF!</v>
      </c>
      <c r="F22" s="223" t="e">
        <f>+F18/F19*10</f>
        <v>#REF!</v>
      </c>
      <c r="G22" s="625" t="e">
        <f>+G18/G19*10</f>
        <v>#REF!</v>
      </c>
      <c r="H22" s="637" t="e">
        <f>+H18/H19*10</f>
        <v>#REF!</v>
      </c>
      <c r="L22" s="224"/>
    </row>
    <row r="23" spans="1:12" ht="8.25" customHeight="1">
      <c r="A23" s="23"/>
      <c r="C23" s="26"/>
      <c r="D23" s="37"/>
      <c r="E23" s="36"/>
      <c r="F23" s="36"/>
      <c r="G23" s="37"/>
      <c r="H23" s="37"/>
      <c r="L23" s="54"/>
    </row>
    <row r="24" spans="1:12" ht="0.75" customHeight="1">
      <c r="A24" s="225"/>
      <c r="B24" s="226"/>
      <c r="C24" s="227"/>
      <c r="D24" s="227"/>
      <c r="E24" s="228"/>
      <c r="F24" s="229"/>
      <c r="G24" s="229"/>
      <c r="H24" s="229"/>
      <c r="I24" s="230"/>
      <c r="J24" s="231"/>
      <c r="L24" s="54"/>
    </row>
    <row r="25" spans="3:12" ht="20.25" customHeight="1">
      <c r="C25" s="183" t="s">
        <v>92</v>
      </c>
      <c r="D25" s="184" t="s">
        <v>93</v>
      </c>
      <c r="E25" s="185">
        <f>+E2</f>
        <v>2004</v>
      </c>
      <c r="F25" s="183"/>
      <c r="G25" s="184" t="s">
        <v>94</v>
      </c>
      <c r="H25" s="186" t="str">
        <f>+H2</f>
        <v> Sept., 30</v>
      </c>
      <c r="J25" s="36"/>
      <c r="L25" s="54"/>
    </row>
    <row r="26" spans="1:12" ht="5.25" customHeight="1" thickBot="1">
      <c r="A26" s="23"/>
      <c r="C26" s="26"/>
      <c r="D26" s="26"/>
      <c r="E26" s="37"/>
      <c r="F26" s="36"/>
      <c r="G26" s="36"/>
      <c r="H26" s="36"/>
      <c r="J26" s="36"/>
      <c r="L26" s="54"/>
    </row>
    <row r="27" spans="1:12" ht="20.25" customHeight="1">
      <c r="A27" s="23"/>
      <c r="C27" s="232"/>
      <c r="D27" s="189" t="str">
        <f>+D5</f>
        <v>3 Months</v>
      </c>
      <c r="E27" s="616" t="str">
        <f aca="true" t="shared" si="0" ref="E27:F29">+E5</f>
        <v>Corresponding</v>
      </c>
      <c r="F27" s="189" t="str">
        <f t="shared" si="0"/>
        <v>Year to date</v>
      </c>
      <c r="G27" s="616" t="str">
        <f aca="true" t="shared" si="1" ref="G27:H29">+G5</f>
        <v>Year to date</v>
      </c>
      <c r="H27" s="643" t="str">
        <f t="shared" si="1"/>
        <v>Previous </v>
      </c>
      <c r="J27" s="36"/>
      <c r="L27" s="54"/>
    </row>
    <row r="28" spans="1:12" ht="20.25" customHeight="1">
      <c r="A28" s="23"/>
      <c r="C28" s="233"/>
      <c r="D28" s="234" t="str">
        <f>+D6</f>
        <v>ended</v>
      </c>
      <c r="E28" s="617" t="str">
        <f t="shared" si="0"/>
        <v>3 months in the</v>
      </c>
      <c r="F28" s="282" t="str">
        <f t="shared" si="0"/>
        <v>figures for</v>
      </c>
      <c r="G28" s="626" t="str">
        <f t="shared" si="1"/>
        <v>figures for</v>
      </c>
      <c r="H28" s="629" t="str">
        <f t="shared" si="1"/>
        <v>accounting</v>
      </c>
      <c r="J28" s="36"/>
      <c r="L28" s="54"/>
    </row>
    <row r="29" spans="1:12" ht="20.25" customHeight="1" thickBot="1">
      <c r="A29" s="23"/>
      <c r="C29" s="235" t="s">
        <v>120</v>
      </c>
      <c r="D29" s="198" t="str">
        <f>+D7</f>
        <v>current period</v>
      </c>
      <c r="E29" s="618" t="str">
        <f t="shared" si="0"/>
        <v>previous year</v>
      </c>
      <c r="F29" s="283" t="str">
        <f t="shared" si="0"/>
        <v>current period</v>
      </c>
      <c r="G29" s="644" t="str">
        <f t="shared" si="1"/>
        <v>previous year</v>
      </c>
      <c r="H29" s="645" t="str">
        <f t="shared" si="1"/>
        <v>year</v>
      </c>
      <c r="J29" s="36"/>
      <c r="L29" s="54"/>
    </row>
    <row r="30" spans="1:12" ht="24" customHeight="1">
      <c r="A30" s="23"/>
      <c r="C30" s="268" t="s">
        <v>121</v>
      </c>
      <c r="D30" s="236" t="e">
        <f>+#REF!</f>
        <v>#REF!</v>
      </c>
      <c r="E30" s="638" t="e">
        <f>+#REF!</f>
        <v>#REF!</v>
      </c>
      <c r="F30" s="236" t="e">
        <f>+#REF!</f>
        <v>#REF!</v>
      </c>
      <c r="G30" s="638" t="e">
        <f>+#REF!</f>
        <v>#REF!</v>
      </c>
      <c r="H30" s="646" t="e">
        <f>+#REF!</f>
        <v>#REF!</v>
      </c>
      <c r="J30" s="36"/>
      <c r="L30" s="54"/>
    </row>
    <row r="31" spans="1:12" ht="24" customHeight="1">
      <c r="A31" s="23"/>
      <c r="C31" s="269" t="s">
        <v>122</v>
      </c>
      <c r="D31" s="236" t="e">
        <f>+#REF!</f>
        <v>#REF!</v>
      </c>
      <c r="E31" s="638" t="e">
        <f>+#REF!</f>
        <v>#REF!</v>
      </c>
      <c r="F31" s="236" t="e">
        <f>+#REF!</f>
        <v>#REF!</v>
      </c>
      <c r="G31" s="638" t="e">
        <f>+#REF!</f>
        <v>#REF!</v>
      </c>
      <c r="H31" s="646" t="e">
        <f>+#REF!</f>
        <v>#REF!</v>
      </c>
      <c r="J31" s="36"/>
      <c r="L31" s="54"/>
    </row>
    <row r="32" spans="1:12" ht="24" customHeight="1">
      <c r="A32" s="23"/>
      <c r="C32" s="270" t="s">
        <v>124</v>
      </c>
      <c r="D32" s="205" t="e">
        <f>+#REF!</f>
        <v>#REF!</v>
      </c>
      <c r="E32" s="639" t="e">
        <f>+#REF!</f>
        <v>#REF!</v>
      </c>
      <c r="F32" s="205" t="e">
        <f>+#REF!</f>
        <v>#REF!</v>
      </c>
      <c r="G32" s="639" t="e">
        <f>+#REF!</f>
        <v>#REF!</v>
      </c>
      <c r="H32" s="647" t="e">
        <f>+#REF!</f>
        <v>#REF!</v>
      </c>
      <c r="J32" s="36"/>
      <c r="L32" s="54"/>
    </row>
    <row r="33" spans="1:12" ht="24" customHeight="1">
      <c r="A33" s="23"/>
      <c r="C33" s="237" t="s">
        <v>123</v>
      </c>
      <c r="D33" s="205" t="e">
        <f>+#REF!</f>
        <v>#REF!</v>
      </c>
      <c r="E33" s="639" t="e">
        <f>+#REF!</f>
        <v>#REF!</v>
      </c>
      <c r="F33" s="205" t="e">
        <f>+#REF!</f>
        <v>#REF!</v>
      </c>
      <c r="G33" s="639" t="e">
        <f>+#REF!</f>
        <v>#REF!</v>
      </c>
      <c r="H33" s="647" t="e">
        <f>+#REF!</f>
        <v>#REF!</v>
      </c>
      <c r="J33" s="36"/>
      <c r="L33" s="54"/>
    </row>
    <row r="34" spans="1:12" ht="24" customHeight="1">
      <c r="A34" s="23"/>
      <c r="C34" s="238" t="s">
        <v>125</v>
      </c>
      <c r="D34" s="205" t="e">
        <f>+#REF!</f>
        <v>#REF!</v>
      </c>
      <c r="E34" s="639" t="e">
        <f>+#REF!</f>
        <v>#REF!</v>
      </c>
      <c r="F34" s="205" t="e">
        <f>+#REF!</f>
        <v>#REF!</v>
      </c>
      <c r="G34" s="639" t="e">
        <f>+#REF!</f>
        <v>#REF!</v>
      </c>
      <c r="H34" s="647" t="e">
        <f>+#REF!</f>
        <v>#REF!</v>
      </c>
      <c r="J34" s="36"/>
      <c r="L34" s="54"/>
    </row>
    <row r="35" spans="1:12" ht="24" customHeight="1" thickBot="1">
      <c r="A35" s="23"/>
      <c r="C35" s="239" t="s">
        <v>126</v>
      </c>
      <c r="D35" s="285" t="e">
        <f>+#REF!+#REF!-#REF!+#REF!</f>
        <v>#REF!</v>
      </c>
      <c r="E35" s="640" t="e">
        <f>+#REF!+#REF!-#REF!+#REF!</f>
        <v>#REF!</v>
      </c>
      <c r="F35" s="285" t="e">
        <f>+#REF!+#REF!-#REF!+#REF!</f>
        <v>#REF!</v>
      </c>
      <c r="G35" s="640" t="e">
        <f>+#REF!+#REF!-#REF!+#REF!</f>
        <v>#REF!</v>
      </c>
      <c r="H35" s="648" t="e">
        <f>+#REF!+#REF!-#REF!+#REF!</f>
        <v>#REF!</v>
      </c>
      <c r="J35" s="36"/>
      <c r="L35" s="54"/>
    </row>
    <row r="36" spans="1:12" ht="20.25" customHeight="1">
      <c r="A36" s="23"/>
      <c r="C36" s="267" t="s">
        <v>153</v>
      </c>
      <c r="D36" s="240" t="e">
        <f>SUM(D30:D35)</f>
        <v>#REF!</v>
      </c>
      <c r="E36" s="641" t="e">
        <f>SUM(E30:E35)</f>
        <v>#REF!</v>
      </c>
      <c r="F36" s="240" t="e">
        <f>SUM(F30:F35)</f>
        <v>#REF!</v>
      </c>
      <c r="G36" s="641" t="e">
        <f>SUM(G30:G35)</f>
        <v>#REF!</v>
      </c>
      <c r="H36" s="641" t="e">
        <f>SUM(H30:H35)</f>
        <v>#REF!</v>
      </c>
      <c r="J36" s="36"/>
      <c r="L36" s="54"/>
    </row>
    <row r="37" spans="1:12" ht="20.25" customHeight="1">
      <c r="A37" s="23"/>
      <c r="C37" s="271" t="s">
        <v>154</v>
      </c>
      <c r="D37" s="284" t="e">
        <f>+D33+D34+D35</f>
        <v>#REF!</v>
      </c>
      <c r="E37" s="642" t="e">
        <f>+E33+E34+E35</f>
        <v>#REF!</v>
      </c>
      <c r="F37" s="284" t="e">
        <f>+F33+F34+F35</f>
        <v>#REF!</v>
      </c>
      <c r="G37" s="642" t="e">
        <f>+G33+G34+G35</f>
        <v>#REF!</v>
      </c>
      <c r="H37" s="642" t="e">
        <f>+H33+H34+H35</f>
        <v>#REF!</v>
      </c>
      <c r="J37" s="36"/>
      <c r="L37" s="54"/>
    </row>
    <row r="38" spans="1:12" ht="14.25" customHeight="1">
      <c r="A38" s="225"/>
      <c r="B38" s="230"/>
      <c r="C38" s="227"/>
      <c r="D38" s="227"/>
      <c r="E38" s="258"/>
      <c r="F38" s="231"/>
      <c r="G38" s="231"/>
      <c r="H38" s="231"/>
      <c r="J38" s="36"/>
      <c r="L38" s="54"/>
    </row>
    <row r="39" spans="1:12" ht="13.5" customHeight="1" thickBot="1">
      <c r="A39" s="23"/>
      <c r="C39" s="26"/>
      <c r="D39" s="26"/>
      <c r="E39" s="37"/>
      <c r="F39" s="36"/>
      <c r="G39" s="36"/>
      <c r="H39" s="36"/>
      <c r="J39" s="36"/>
      <c r="L39" s="54"/>
    </row>
    <row r="40" spans="1:12" ht="20.25" customHeight="1" thickBot="1" thickTop="1">
      <c r="A40" s="23"/>
      <c r="C40" s="936" t="s">
        <v>71</v>
      </c>
      <c r="D40" s="937"/>
      <c r="E40" s="937"/>
      <c r="F40" s="937"/>
      <c r="G40" s="937"/>
      <c r="H40" s="938"/>
      <c r="J40" s="36"/>
      <c r="L40" s="54"/>
    </row>
    <row r="41" spans="1:12" ht="12" customHeight="1" thickBot="1" thickTop="1">
      <c r="A41" s="23"/>
      <c r="C41" s="241"/>
      <c r="D41" s="241"/>
      <c r="E41" s="241"/>
      <c r="F41" s="241"/>
      <c r="G41" s="241"/>
      <c r="H41" s="241"/>
      <c r="J41" s="36"/>
      <c r="L41" s="54"/>
    </row>
    <row r="42" spans="1:12" ht="20.25" customHeight="1" thickTop="1">
      <c r="A42" s="23"/>
      <c r="C42" s="939" t="s">
        <v>316</v>
      </c>
      <c r="D42" s="940"/>
      <c r="E42" s="940"/>
      <c r="F42" s="940"/>
      <c r="G42" s="940"/>
      <c r="H42" s="941"/>
      <c r="J42" s="36"/>
      <c r="L42" s="54"/>
    </row>
    <row r="43" spans="1:12" ht="20.25" customHeight="1" thickBot="1">
      <c r="A43" s="23"/>
      <c r="C43" s="942" t="s">
        <v>127</v>
      </c>
      <c r="D43" s="943"/>
      <c r="E43" s="943"/>
      <c r="F43" s="943"/>
      <c r="G43" s="943"/>
      <c r="H43" s="944"/>
      <c r="J43" s="36"/>
      <c r="L43" s="54"/>
    </row>
    <row r="44" spans="1:12" ht="20.25" customHeight="1" thickTop="1">
      <c r="A44" s="23"/>
      <c r="C44" s="242"/>
      <c r="D44" s="242"/>
      <c r="E44" s="242"/>
      <c r="F44" s="242"/>
      <c r="G44" s="242"/>
      <c r="H44" s="242"/>
      <c r="J44" s="36"/>
      <c r="L44" s="54"/>
    </row>
    <row r="45" spans="1:12" ht="20.25" customHeight="1">
      <c r="A45" s="23"/>
      <c r="C45" s="243" t="s">
        <v>84</v>
      </c>
      <c r="D45" s="242"/>
      <c r="E45" s="242"/>
      <c r="F45" s="242"/>
      <c r="G45" s="242"/>
      <c r="H45" s="242"/>
      <c r="J45" s="36"/>
      <c r="L45" s="54"/>
    </row>
    <row r="46" spans="1:12" ht="5.25" customHeight="1" thickBot="1">
      <c r="A46" s="23"/>
      <c r="C46" s="26"/>
      <c r="D46" s="26"/>
      <c r="E46" s="37"/>
      <c r="F46" s="36"/>
      <c r="G46" s="36"/>
      <c r="H46" s="36"/>
      <c r="J46" s="36"/>
      <c r="L46" s="54"/>
    </row>
    <row r="47" spans="1:12" ht="20.25" customHeight="1">
      <c r="A47" s="23"/>
      <c r="C47" s="14"/>
      <c r="D47" s="244"/>
      <c r="E47" s="616" t="str">
        <f aca="true" t="shared" si="2" ref="E47:G49">+E27</f>
        <v>Corresponding</v>
      </c>
      <c r="F47" s="189" t="str">
        <f t="shared" si="2"/>
        <v>Year to date</v>
      </c>
      <c r="G47" s="616" t="str">
        <f t="shared" si="2"/>
        <v>Year to date</v>
      </c>
      <c r="H47" s="643"/>
      <c r="J47" s="36"/>
      <c r="L47" s="54"/>
    </row>
    <row r="48" spans="1:12" ht="20.25" customHeight="1">
      <c r="A48" s="23"/>
      <c r="C48" s="9"/>
      <c r="D48" s="245" t="str">
        <f>+D28</f>
        <v>ended</v>
      </c>
      <c r="E48" s="617" t="str">
        <f t="shared" si="2"/>
        <v>3 months in the</v>
      </c>
      <c r="F48" s="282" t="str">
        <f t="shared" si="2"/>
        <v>figures for</v>
      </c>
      <c r="G48" s="626" t="str">
        <f t="shared" si="2"/>
        <v>figures for</v>
      </c>
      <c r="H48" s="629" t="str">
        <f>+H28</f>
        <v>accounting</v>
      </c>
      <c r="J48" s="36"/>
      <c r="L48" s="54"/>
    </row>
    <row r="49" spans="1:12" ht="20.25" customHeight="1" thickBot="1">
      <c r="A49" s="23"/>
      <c r="C49" s="246" t="s">
        <v>128</v>
      </c>
      <c r="D49" s="247" t="str">
        <f>+D29</f>
        <v>current period</v>
      </c>
      <c r="E49" s="618" t="str">
        <f t="shared" si="2"/>
        <v>previous year</v>
      </c>
      <c r="F49" s="283" t="str">
        <f t="shared" si="2"/>
        <v>current period</v>
      </c>
      <c r="G49" s="644" t="str">
        <f t="shared" si="2"/>
        <v>previous year</v>
      </c>
      <c r="H49" s="645" t="str">
        <f>+H29</f>
        <v>year</v>
      </c>
      <c r="J49" s="36"/>
      <c r="L49" s="54"/>
    </row>
    <row r="50" spans="1:12" ht="5.25" customHeight="1" thickBot="1">
      <c r="A50" s="23"/>
      <c r="C50" s="9"/>
      <c r="D50" s="3"/>
      <c r="E50" s="649"/>
      <c r="F50" s="286"/>
      <c r="G50" s="657"/>
      <c r="H50" s="657"/>
      <c r="J50" s="36"/>
      <c r="L50" s="54"/>
    </row>
    <row r="51" spans="1:12" ht="20.25" customHeight="1" thickBot="1">
      <c r="A51" s="23"/>
      <c r="C51" s="246" t="s">
        <v>99</v>
      </c>
      <c r="D51" s="248" t="s">
        <v>100</v>
      </c>
      <c r="E51" s="650" t="s">
        <v>100</v>
      </c>
      <c r="F51" s="249" t="s">
        <v>100</v>
      </c>
      <c r="G51" s="650" t="s">
        <v>100</v>
      </c>
      <c r="H51" s="658" t="s">
        <v>6</v>
      </c>
      <c r="J51" s="36"/>
      <c r="L51" s="54"/>
    </row>
    <row r="52" spans="1:12" ht="20.25" customHeight="1">
      <c r="A52" s="23"/>
      <c r="C52" s="99" t="s">
        <v>129</v>
      </c>
      <c r="D52" s="250"/>
      <c r="E52" s="651"/>
      <c r="F52" s="250"/>
      <c r="G52" s="651"/>
      <c r="H52" s="651"/>
      <c r="J52" s="36"/>
      <c r="L52" s="54"/>
    </row>
    <row r="53" spans="1:12" ht="20.25" customHeight="1" thickBot="1">
      <c r="A53" s="23"/>
      <c r="C53" s="99" t="s">
        <v>130</v>
      </c>
      <c r="D53" s="250"/>
      <c r="E53" s="651"/>
      <c r="F53" s="250"/>
      <c r="G53" s="651"/>
      <c r="H53" s="651"/>
      <c r="J53" s="36"/>
      <c r="L53" s="54"/>
    </row>
    <row r="54" spans="1:12" ht="20.25" customHeight="1">
      <c r="A54" s="23"/>
      <c r="C54" s="139" t="s">
        <v>171</v>
      </c>
      <c r="D54" s="606" t="e">
        <f>+#REF!</f>
        <v>#REF!</v>
      </c>
      <c r="E54" s="652" t="e">
        <f>+#REF!</f>
        <v>#REF!</v>
      </c>
      <c r="F54" s="251" t="e">
        <f>+#REF!</f>
        <v>#REF!</v>
      </c>
      <c r="G54" s="652" t="e">
        <f>+#REF!</f>
        <v>#REF!</v>
      </c>
      <c r="H54" s="659" t="e">
        <f>+#REF!</f>
        <v>#REF!</v>
      </c>
      <c r="J54" s="36"/>
      <c r="L54" s="54"/>
    </row>
    <row r="55" spans="1:12" ht="20.25" customHeight="1">
      <c r="A55" s="23"/>
      <c r="C55" s="139" t="s">
        <v>172</v>
      </c>
      <c r="D55" s="607" t="e">
        <f>+#REF!</f>
        <v>#REF!</v>
      </c>
      <c r="E55" s="653" t="e">
        <f>+#REF!</f>
        <v>#REF!</v>
      </c>
      <c r="F55" s="610" t="e">
        <f>+#REF!</f>
        <v>#REF!</v>
      </c>
      <c r="G55" s="653" t="e">
        <f>+#REF!</f>
        <v>#REF!</v>
      </c>
      <c r="H55" s="660" t="e">
        <f>+#REF!</f>
        <v>#REF!</v>
      </c>
      <c r="J55" s="36"/>
      <c r="L55" s="54"/>
    </row>
    <row r="56" spans="1:12" ht="20.25" customHeight="1">
      <c r="A56" s="23"/>
      <c r="C56" s="139" t="s">
        <v>196</v>
      </c>
      <c r="D56" s="607" t="e">
        <f>+#REF!</f>
        <v>#REF!</v>
      </c>
      <c r="E56" s="653" t="e">
        <f>+#REF!</f>
        <v>#REF!</v>
      </c>
      <c r="F56" s="610" t="e">
        <f>+#REF!</f>
        <v>#REF!</v>
      </c>
      <c r="G56" s="653" t="e">
        <f>+#REF!</f>
        <v>#REF!</v>
      </c>
      <c r="H56" s="660" t="e">
        <f>+#REF!</f>
        <v>#REF!</v>
      </c>
      <c r="J56" s="36"/>
      <c r="L56" s="54"/>
    </row>
    <row r="57" spans="1:12" ht="20.25" customHeight="1">
      <c r="A57" s="23"/>
      <c r="C57" s="139" t="s">
        <v>288</v>
      </c>
      <c r="D57" s="607" t="e">
        <f>+#REF!</f>
        <v>#REF!</v>
      </c>
      <c r="E57" s="653" t="e">
        <f>+#REF!</f>
        <v>#REF!</v>
      </c>
      <c r="F57" s="610" t="e">
        <f>+#REF!</f>
        <v>#REF!</v>
      </c>
      <c r="G57" s="653" t="e">
        <f>+#REF!</f>
        <v>#REF!</v>
      </c>
      <c r="H57" s="660" t="e">
        <f>+#REF!</f>
        <v>#REF!</v>
      </c>
      <c r="J57" s="36"/>
      <c r="L57" s="54"/>
    </row>
    <row r="58" spans="1:12" ht="20.25" customHeight="1">
      <c r="A58" s="23"/>
      <c r="C58" s="139" t="s">
        <v>85</v>
      </c>
      <c r="D58" s="607" t="e">
        <f>+#REF!</f>
        <v>#REF!</v>
      </c>
      <c r="E58" s="653" t="e">
        <f>+#REF!</f>
        <v>#REF!</v>
      </c>
      <c r="F58" s="610" t="e">
        <f>+#REF!</f>
        <v>#REF!</v>
      </c>
      <c r="G58" s="653" t="e">
        <f>+#REF!</f>
        <v>#REF!</v>
      </c>
      <c r="H58" s="660" t="e">
        <f>+#REF!</f>
        <v>#REF!</v>
      </c>
      <c r="J58" s="36"/>
      <c r="L58" s="54"/>
    </row>
    <row r="59" spans="1:12" ht="20.25" customHeight="1">
      <c r="A59" s="23"/>
      <c r="C59" s="139" t="s">
        <v>223</v>
      </c>
      <c r="D59" s="607" t="e">
        <f>+#REF!</f>
        <v>#REF!</v>
      </c>
      <c r="E59" s="653" t="e">
        <f>+#REF!</f>
        <v>#REF!</v>
      </c>
      <c r="F59" s="610" t="e">
        <f>+#REF!</f>
        <v>#REF!</v>
      </c>
      <c r="G59" s="653" t="e">
        <f>+#REF!</f>
        <v>#REF!</v>
      </c>
      <c r="H59" s="660" t="e">
        <f>+#REF!</f>
        <v>#REF!</v>
      </c>
      <c r="J59" s="36"/>
      <c r="L59" s="54"/>
    </row>
    <row r="60" spans="1:12" ht="20.25" customHeight="1">
      <c r="A60" s="23"/>
      <c r="D60" s="608" t="e">
        <f>SUM(D54:D59)</f>
        <v>#REF!</v>
      </c>
      <c r="E60" s="621" t="e">
        <f>SUM(E54:E59)</f>
        <v>#REF!</v>
      </c>
      <c r="F60" s="209" t="e">
        <f>SUM(F54:F59)</f>
        <v>#REF!</v>
      </c>
      <c r="G60" s="621" t="e">
        <f>SUM(G54:G59)</f>
        <v>#REF!</v>
      </c>
      <c r="H60" s="633" t="e">
        <f>SUM(H54:H59)</f>
        <v>#REF!</v>
      </c>
      <c r="J60" s="36"/>
      <c r="L60" s="54"/>
    </row>
    <row r="61" spans="1:12" ht="20.25" customHeight="1">
      <c r="A61" s="23"/>
      <c r="C61" s="71" t="s">
        <v>131</v>
      </c>
      <c r="D61" s="607" t="e">
        <f>+#REF!</f>
        <v>#REF!</v>
      </c>
      <c r="E61" s="653" t="e">
        <f>+#REF!</f>
        <v>#REF!</v>
      </c>
      <c r="F61" s="610" t="e">
        <f>+#REF!</f>
        <v>#REF!</v>
      </c>
      <c r="G61" s="653" t="e">
        <f>+#REF!</f>
        <v>#REF!</v>
      </c>
      <c r="H61" s="660" t="e">
        <f>+#REF!</f>
        <v>#REF!</v>
      </c>
      <c r="J61" s="36"/>
      <c r="L61" s="54"/>
    </row>
    <row r="62" spans="1:12" ht="20.25" customHeight="1" thickBot="1">
      <c r="A62" s="23"/>
      <c r="C62" s="71" t="s">
        <v>132</v>
      </c>
      <c r="D62" s="609" t="e">
        <f>+D60-D61</f>
        <v>#REF!</v>
      </c>
      <c r="E62" s="654" t="e">
        <f>+E60-E61</f>
        <v>#REF!</v>
      </c>
      <c r="F62" s="254" t="e">
        <f>+F60-F61</f>
        <v>#REF!</v>
      </c>
      <c r="G62" s="654" t="e">
        <f>+G60-G61</f>
        <v>#REF!</v>
      </c>
      <c r="H62" s="661" t="e">
        <f>+H60-H61</f>
        <v>#REF!</v>
      </c>
      <c r="J62" s="36"/>
      <c r="L62" s="54"/>
    </row>
    <row r="63" spans="1:12" ht="20.25" customHeight="1">
      <c r="A63" s="23"/>
      <c r="C63" s="70" t="s">
        <v>133</v>
      </c>
      <c r="D63" s="250"/>
      <c r="E63" s="651"/>
      <c r="F63" s="250"/>
      <c r="G63" s="651"/>
      <c r="H63" s="651"/>
      <c r="J63" s="36"/>
      <c r="L63" s="54"/>
    </row>
    <row r="64" spans="1:12" ht="20.25" customHeight="1" thickBot="1">
      <c r="A64" s="23"/>
      <c r="C64" s="70" t="s">
        <v>134</v>
      </c>
      <c r="D64" s="250"/>
      <c r="E64" s="651"/>
      <c r="F64" s="250"/>
      <c r="G64" s="651"/>
      <c r="H64" s="651"/>
      <c r="J64" s="36"/>
      <c r="L64" s="54"/>
    </row>
    <row r="65" spans="1:12" ht="20.25" customHeight="1">
      <c r="A65" s="23"/>
      <c r="C65" s="139" t="s">
        <v>171</v>
      </c>
      <c r="D65" s="611" t="e">
        <f>+#REF!</f>
        <v>#REF!</v>
      </c>
      <c r="E65" s="655" t="e">
        <f>+#REF!</f>
        <v>#REF!</v>
      </c>
      <c r="F65" s="256" t="e">
        <f>+#REF!</f>
        <v>#REF!</v>
      </c>
      <c r="G65" s="655" t="e">
        <f>+#REF!</f>
        <v>#REF!</v>
      </c>
      <c r="H65" s="662" t="e">
        <f>+#REF!</f>
        <v>#REF!</v>
      </c>
      <c r="J65" s="36"/>
      <c r="L65" s="54"/>
    </row>
    <row r="66" spans="1:12" ht="20.25" customHeight="1">
      <c r="A66" s="23"/>
      <c r="C66" s="139" t="s">
        <v>172</v>
      </c>
      <c r="D66" s="612" t="e">
        <f>+#REF!</f>
        <v>#REF!</v>
      </c>
      <c r="E66" s="639" t="e">
        <f>+#REF!</f>
        <v>#REF!</v>
      </c>
      <c r="F66" s="205" t="e">
        <f>+#REF!</f>
        <v>#REF!</v>
      </c>
      <c r="G66" s="639" t="e">
        <f>+#REF!</f>
        <v>#REF!</v>
      </c>
      <c r="H66" s="647" t="e">
        <f>+#REF!</f>
        <v>#REF!</v>
      </c>
      <c r="J66" s="36"/>
      <c r="L66" s="54"/>
    </row>
    <row r="67" spans="1:12" ht="20.25" customHeight="1">
      <c r="A67" s="23"/>
      <c r="C67" s="139" t="s">
        <v>196</v>
      </c>
      <c r="D67" s="612" t="e">
        <f>+#REF!</f>
        <v>#REF!</v>
      </c>
      <c r="E67" s="639" t="e">
        <f>+#REF!</f>
        <v>#REF!</v>
      </c>
      <c r="F67" s="205" t="e">
        <f>+#REF!</f>
        <v>#REF!</v>
      </c>
      <c r="G67" s="639" t="e">
        <f>+#REF!</f>
        <v>#REF!</v>
      </c>
      <c r="H67" s="647" t="e">
        <f>+#REF!</f>
        <v>#REF!</v>
      </c>
      <c r="J67" s="36"/>
      <c r="L67" s="54"/>
    </row>
    <row r="68" spans="1:12" ht="20.25" customHeight="1">
      <c r="A68" s="23"/>
      <c r="C68" s="139" t="s">
        <v>288</v>
      </c>
      <c r="D68" s="612" t="e">
        <f>+#REF!</f>
        <v>#REF!</v>
      </c>
      <c r="E68" s="639" t="e">
        <f>+#REF!</f>
        <v>#REF!</v>
      </c>
      <c r="F68" s="205" t="e">
        <f>+#REF!</f>
        <v>#REF!</v>
      </c>
      <c r="G68" s="639" t="e">
        <f>+#REF!</f>
        <v>#REF!</v>
      </c>
      <c r="H68" s="647" t="e">
        <f>+#REF!</f>
        <v>#REF!</v>
      </c>
      <c r="J68" s="36"/>
      <c r="L68" s="54"/>
    </row>
    <row r="69" spans="1:12" ht="20.25" customHeight="1">
      <c r="A69" s="23"/>
      <c r="C69" s="139" t="s">
        <v>85</v>
      </c>
      <c r="D69" s="612" t="e">
        <f>+#REF!</f>
        <v>#REF!</v>
      </c>
      <c r="E69" s="639" t="e">
        <f>+#REF!</f>
        <v>#REF!</v>
      </c>
      <c r="F69" s="205" t="e">
        <f>+#REF!</f>
        <v>#REF!</v>
      </c>
      <c r="G69" s="639" t="e">
        <f>+#REF!</f>
        <v>#REF!</v>
      </c>
      <c r="H69" s="647" t="e">
        <f>+#REF!</f>
        <v>#REF!</v>
      </c>
      <c r="J69" s="36"/>
      <c r="L69" s="54"/>
    </row>
    <row r="70" spans="1:12" ht="20.25" customHeight="1">
      <c r="A70" s="23"/>
      <c r="C70" s="9" t="s">
        <v>135</v>
      </c>
      <c r="D70" s="608" t="e">
        <f>SUM(D65:D69)</f>
        <v>#REF!</v>
      </c>
      <c r="E70" s="621" t="e">
        <f>SUM(E65:E69)</f>
        <v>#REF!</v>
      </c>
      <c r="F70" s="209" t="e">
        <f>SUM(F65:F69)</f>
        <v>#REF!</v>
      </c>
      <c r="G70" s="621" t="e">
        <f>SUM(G65:G69)</f>
        <v>#REF!</v>
      </c>
      <c r="H70" s="633" t="e">
        <f>SUM(H65:H69)</f>
        <v>#REF!</v>
      </c>
      <c r="J70" s="36"/>
      <c r="L70" s="54"/>
    </row>
    <row r="71" spans="1:12" ht="20.25" customHeight="1">
      <c r="A71" s="23"/>
      <c r="C71" s="71" t="s">
        <v>136</v>
      </c>
      <c r="D71" s="612" t="e">
        <f>+#REF!</f>
        <v>#REF!</v>
      </c>
      <c r="E71" s="639" t="e">
        <f>+#REF!</f>
        <v>#REF!</v>
      </c>
      <c r="F71" s="205" t="e">
        <f>+#REF!</f>
        <v>#REF!</v>
      </c>
      <c r="G71" s="639" t="e">
        <f>+#REF!</f>
        <v>#REF!</v>
      </c>
      <c r="H71" s="647" t="e">
        <f>+#REF!</f>
        <v>#REF!</v>
      </c>
      <c r="J71" s="36"/>
      <c r="L71" s="54"/>
    </row>
    <row r="72" spans="1:12" ht="15" customHeight="1">
      <c r="A72" s="23"/>
      <c r="C72" s="71" t="s">
        <v>290</v>
      </c>
      <c r="D72" s="613"/>
      <c r="E72" s="656"/>
      <c r="F72" s="257"/>
      <c r="G72" s="656"/>
      <c r="H72" s="663"/>
      <c r="J72" s="36"/>
      <c r="L72" s="54"/>
    </row>
    <row r="73" spans="1:12" ht="15" customHeight="1">
      <c r="A73" s="23"/>
      <c r="C73" s="71" t="s">
        <v>289</v>
      </c>
      <c r="D73" s="614" t="e">
        <f>+#REF!</f>
        <v>#REF!</v>
      </c>
      <c r="E73" s="638" t="e">
        <f>+#REF!</f>
        <v>#REF!</v>
      </c>
      <c r="F73" s="236" t="e">
        <f>+#REF!</f>
        <v>#REF!</v>
      </c>
      <c r="G73" s="638" t="e">
        <f>+#REF!</f>
        <v>#REF!</v>
      </c>
      <c r="H73" s="646" t="e">
        <f>+#REF!</f>
        <v>#REF!</v>
      </c>
      <c r="J73" s="36"/>
      <c r="L73" s="54"/>
    </row>
    <row r="74" spans="1:12" ht="20.25" customHeight="1" thickBot="1">
      <c r="A74" s="23"/>
      <c r="C74" s="9" t="s">
        <v>137</v>
      </c>
      <c r="D74" s="609" t="e">
        <f>+D70-D71+D73</f>
        <v>#REF!</v>
      </c>
      <c r="E74" s="654" t="e">
        <f>+E70-E71+E73</f>
        <v>#REF!</v>
      </c>
      <c r="F74" s="254" t="e">
        <f>+F70-F71+F73</f>
        <v>#REF!</v>
      </c>
      <c r="G74" s="654" t="e">
        <f>+G70-G71+G73</f>
        <v>#REF!</v>
      </c>
      <c r="H74" s="661" t="e">
        <f>+H70-H71+H73</f>
        <v>#REF!</v>
      </c>
      <c r="J74" s="36"/>
      <c r="L74" s="54"/>
    </row>
    <row r="75" spans="1:12" ht="20.25" customHeight="1">
      <c r="A75" s="23"/>
      <c r="C75" s="70" t="s">
        <v>138</v>
      </c>
      <c r="D75" s="250"/>
      <c r="E75" s="651"/>
      <c r="F75" s="250"/>
      <c r="G75" s="651"/>
      <c r="H75" s="651"/>
      <c r="J75" s="36"/>
      <c r="L75" s="54"/>
    </row>
    <row r="76" spans="1:12" ht="20.25" customHeight="1" thickBot="1">
      <c r="A76" s="23"/>
      <c r="C76" s="70" t="s">
        <v>139</v>
      </c>
      <c r="D76" s="250"/>
      <c r="E76" s="651"/>
      <c r="F76" s="250"/>
      <c r="G76" s="651"/>
      <c r="H76" s="651"/>
      <c r="J76" s="36"/>
      <c r="L76" s="54"/>
    </row>
    <row r="77" spans="1:12" ht="20.25" customHeight="1">
      <c r="A77" s="23"/>
      <c r="C77" s="139" t="s">
        <v>171</v>
      </c>
      <c r="D77" s="255" t="e">
        <f>+#REF!</f>
        <v>#REF!</v>
      </c>
      <c r="E77" s="655" t="e">
        <f>+#REF!</f>
        <v>#REF!</v>
      </c>
      <c r="F77" s="256" t="e">
        <f>+#REF!</f>
        <v>#REF!</v>
      </c>
      <c r="G77" s="655" t="e">
        <f>+#REF!</f>
        <v>#REF!</v>
      </c>
      <c r="H77" s="662" t="e">
        <f>+#REF!</f>
        <v>#REF!</v>
      </c>
      <c r="J77" s="36"/>
      <c r="L77" s="54"/>
    </row>
    <row r="78" spans="1:12" ht="20.25" customHeight="1">
      <c r="A78" s="23"/>
      <c r="C78" s="139" t="s">
        <v>172</v>
      </c>
      <c r="D78" s="252" t="e">
        <f>+#REF!</f>
        <v>#REF!</v>
      </c>
      <c r="E78" s="639" t="e">
        <f>+#REF!</f>
        <v>#REF!</v>
      </c>
      <c r="F78" s="205" t="e">
        <f>+#REF!</f>
        <v>#REF!</v>
      </c>
      <c r="G78" s="639" t="e">
        <f>+#REF!</f>
        <v>#REF!</v>
      </c>
      <c r="H78" s="647" t="e">
        <f>+#REF!</f>
        <v>#REF!</v>
      </c>
      <c r="J78" s="36"/>
      <c r="L78" s="54"/>
    </row>
    <row r="79" spans="1:12" ht="20.25" customHeight="1">
      <c r="A79" s="23"/>
      <c r="C79" s="139" t="s">
        <v>196</v>
      </c>
      <c r="D79" s="252" t="e">
        <f>+#REF!</f>
        <v>#REF!</v>
      </c>
      <c r="E79" s="639" t="e">
        <f>+#REF!</f>
        <v>#REF!</v>
      </c>
      <c r="F79" s="205" t="e">
        <f>+#REF!</f>
        <v>#REF!</v>
      </c>
      <c r="G79" s="639" t="e">
        <f>+#REF!</f>
        <v>#REF!</v>
      </c>
      <c r="H79" s="647" t="e">
        <f>+#REF!</f>
        <v>#REF!</v>
      </c>
      <c r="J79" s="36"/>
      <c r="L79" s="54"/>
    </row>
    <row r="80" spans="1:12" ht="20.25" customHeight="1">
      <c r="A80" s="23"/>
      <c r="C80" s="139" t="s">
        <v>288</v>
      </c>
      <c r="D80" s="252" t="e">
        <f>+#REF!</f>
        <v>#REF!</v>
      </c>
      <c r="E80" s="639" t="e">
        <f>+#REF!</f>
        <v>#REF!</v>
      </c>
      <c r="F80" s="205" t="e">
        <f>+#REF!</f>
        <v>#REF!</v>
      </c>
      <c r="G80" s="639" t="e">
        <f>+#REF!</f>
        <v>#REF!</v>
      </c>
      <c r="H80" s="647" t="e">
        <f>+#REF!</f>
        <v>#REF!</v>
      </c>
      <c r="J80" s="36"/>
      <c r="L80" s="54"/>
    </row>
    <row r="81" spans="1:12" ht="20.25" customHeight="1">
      <c r="A81" s="23"/>
      <c r="C81" s="100" t="s">
        <v>85</v>
      </c>
      <c r="D81" s="252" t="e">
        <f>+#REF!</f>
        <v>#REF!</v>
      </c>
      <c r="E81" s="639" t="e">
        <f>+#REF!</f>
        <v>#REF!</v>
      </c>
      <c r="F81" s="205" t="e">
        <f>+#REF!</f>
        <v>#REF!</v>
      </c>
      <c r="G81" s="639" t="e">
        <f>+#REF!</f>
        <v>#REF!</v>
      </c>
      <c r="H81" s="647" t="e">
        <f>+#REF!</f>
        <v>#REF!</v>
      </c>
      <c r="J81" s="36"/>
      <c r="L81" s="54"/>
    </row>
    <row r="82" spans="1:12" ht="20.25" customHeight="1" thickBot="1">
      <c r="A82" s="23"/>
      <c r="C82" s="71" t="s">
        <v>140</v>
      </c>
      <c r="D82" s="253" t="e">
        <f>SUM(D77:D81)</f>
        <v>#REF!</v>
      </c>
      <c r="E82" s="654" t="e">
        <f>SUM(E77:E81)</f>
        <v>#REF!</v>
      </c>
      <c r="F82" s="254" t="e">
        <f>SUM(F77:F81)</f>
        <v>#REF!</v>
      </c>
      <c r="G82" s="654" t="e">
        <f>SUM(G77:G81)</f>
        <v>#REF!</v>
      </c>
      <c r="H82" s="661" t="e">
        <f>SUM(H77:H81)</f>
        <v>#REF!</v>
      </c>
      <c r="J82" s="36"/>
      <c r="L82" s="54"/>
    </row>
    <row r="83" spans="1:12" ht="20.25" customHeight="1">
      <c r="A83" s="23"/>
      <c r="C83" s="26"/>
      <c r="D83" s="26"/>
      <c r="E83" s="37"/>
      <c r="F83" s="36"/>
      <c r="G83" s="36"/>
      <c r="H83" s="36"/>
      <c r="J83" s="36"/>
      <c r="L83" s="54"/>
    </row>
    <row r="84" spans="1:10" ht="15" customHeight="1">
      <c r="A84" s="113"/>
      <c r="B84" s="113"/>
      <c r="C84" s="113"/>
      <c r="D84" s="113"/>
      <c r="E84" s="109"/>
      <c r="G84" s="108"/>
      <c r="H84" s="108" t="s">
        <v>38</v>
      </c>
      <c r="I84" s="113"/>
      <c r="J84" s="109"/>
    </row>
    <row r="85" spans="1:11" ht="15" customHeight="1">
      <c r="A85" s="24"/>
      <c r="B85" s="27"/>
      <c r="C85" s="27"/>
      <c r="D85" s="27"/>
      <c r="E85" s="27"/>
      <c r="F85" s="28"/>
      <c r="G85" s="27"/>
      <c r="H85" s="27"/>
      <c r="I85" s="27"/>
      <c r="J85" s="27"/>
      <c r="K85" s="27"/>
    </row>
    <row r="86" spans="1:19" s="4" customFormat="1" ht="15.75">
      <c r="A86" s="24"/>
      <c r="B86" s="27"/>
      <c r="C86" s="27"/>
      <c r="D86" s="27"/>
      <c r="E86" s="27"/>
      <c r="F86" s="27"/>
      <c r="G86" s="27"/>
      <c r="H86" s="27"/>
      <c r="I86" s="27"/>
      <c r="J86" s="27"/>
      <c r="K86" s="28"/>
      <c r="L86" s="28"/>
      <c r="M86" s="27"/>
      <c r="N86" s="27"/>
      <c r="O86" s="27"/>
      <c r="P86" s="27"/>
      <c r="Q86" s="27"/>
      <c r="R86" s="10"/>
      <c r="S86" s="10"/>
    </row>
    <row r="87" spans="1:19" s="4" customFormat="1" ht="15.75">
      <c r="A87" s="151"/>
      <c r="B87" s="11"/>
      <c r="C87" s="154"/>
      <c r="D87" s="154"/>
      <c r="E87" s="154"/>
      <c r="F87" s="31"/>
      <c r="G87" s="31"/>
      <c r="H87" s="31"/>
      <c r="I87" s="31"/>
      <c r="J87" s="31"/>
      <c r="K87" s="31"/>
      <c r="L87" s="2"/>
      <c r="M87" s="2"/>
      <c r="N87" s="5"/>
      <c r="O87" s="5"/>
      <c r="P87" s="5"/>
      <c r="Q87" s="5"/>
      <c r="R87" s="10"/>
      <c r="S87" s="10"/>
    </row>
    <row r="88" spans="1:19" s="4" customFormat="1" ht="15.75">
      <c r="A88" s="153"/>
      <c r="B88" s="11"/>
      <c r="C88" s="154"/>
      <c r="D88" s="154"/>
      <c r="E88" s="154"/>
      <c r="F88" s="31"/>
      <c r="G88" s="31"/>
      <c r="H88" s="31"/>
      <c r="I88" s="31"/>
      <c r="J88" s="31"/>
      <c r="K88" s="31"/>
      <c r="L88" s="2"/>
      <c r="M88" s="2"/>
      <c r="N88" s="5"/>
      <c r="O88" s="5"/>
      <c r="P88" s="5"/>
      <c r="Q88" s="5"/>
      <c r="R88" s="10"/>
      <c r="S88" s="10"/>
    </row>
    <row r="89" spans="1:19" s="4" customFormat="1" ht="15.75">
      <c r="A89" s="153"/>
      <c r="B89" s="11"/>
      <c r="C89" s="152"/>
      <c r="D89" s="152"/>
      <c r="E89" s="152"/>
      <c r="F89" s="31"/>
      <c r="G89" s="31"/>
      <c r="H89" s="31"/>
      <c r="I89" s="31"/>
      <c r="J89" s="31"/>
      <c r="K89" s="31"/>
      <c r="L89" s="2"/>
      <c r="M89" s="2"/>
      <c r="N89" s="5"/>
      <c r="O89" s="5"/>
      <c r="P89" s="5"/>
      <c r="Q89" s="5"/>
      <c r="R89" s="10"/>
      <c r="S89" s="10"/>
    </row>
    <row r="90" spans="1:19" s="4" customFormat="1" ht="15.75">
      <c r="A90" s="173"/>
      <c r="B90" s="10"/>
      <c r="C90" s="174"/>
      <c r="D90" s="174"/>
      <c r="E90" s="174"/>
      <c r="F90" s="174"/>
      <c r="G90" s="174"/>
      <c r="P90" s="5"/>
      <c r="Q90" s="5"/>
      <c r="R90" s="10"/>
      <c r="S90" s="10"/>
    </row>
    <row r="91" spans="1:19" s="4" customFormat="1" ht="15.75">
      <c r="A91" s="173"/>
      <c r="B91" s="10"/>
      <c r="C91" s="174"/>
      <c r="D91" s="174"/>
      <c r="E91" s="174"/>
      <c r="F91" s="174"/>
      <c r="G91" s="174"/>
      <c r="P91" s="5"/>
      <c r="Q91" s="5"/>
      <c r="R91" s="10"/>
      <c r="S91" s="10"/>
    </row>
    <row r="92" spans="1:19" s="4" customFormat="1" ht="15.75">
      <c r="A92" s="173"/>
      <c r="B92" s="10"/>
      <c r="C92" s="174"/>
      <c r="D92" s="174"/>
      <c r="E92" s="174"/>
      <c r="F92" s="174"/>
      <c r="G92" s="174"/>
      <c r="P92" s="5"/>
      <c r="Q92" s="5"/>
      <c r="R92" s="10"/>
      <c r="S92" s="10"/>
    </row>
    <row r="93" spans="1:19" s="4" customFormat="1" ht="15.75">
      <c r="A93" s="173"/>
      <c r="B93" s="10"/>
      <c r="C93" s="174"/>
      <c r="D93" s="174"/>
      <c r="E93" s="174"/>
      <c r="F93" s="174"/>
      <c r="G93" s="174"/>
      <c r="P93" s="5"/>
      <c r="Q93" s="5"/>
      <c r="R93" s="10"/>
      <c r="S93" s="10"/>
    </row>
    <row r="94" spans="1:19" s="4" customFormat="1" ht="15.75">
      <c r="A94" s="173"/>
      <c r="B94" s="10"/>
      <c r="C94" s="174"/>
      <c r="D94" s="174"/>
      <c r="E94" s="174"/>
      <c r="F94" s="174"/>
      <c r="G94" s="174"/>
      <c r="P94" s="5"/>
      <c r="Q94" s="5"/>
      <c r="R94" s="10"/>
      <c r="S94" s="10"/>
    </row>
    <row r="95" spans="1:19" s="4" customFormat="1" ht="15.75">
      <c r="A95" s="173"/>
      <c r="B95" s="10"/>
      <c r="C95" s="174"/>
      <c r="D95" s="174"/>
      <c r="E95" s="174"/>
      <c r="F95" s="174"/>
      <c r="G95" s="174"/>
      <c r="P95" s="5"/>
      <c r="Q95" s="5"/>
      <c r="R95" s="10"/>
      <c r="S95" s="10"/>
    </row>
    <row r="96" spans="1:19" s="4" customFormat="1" ht="15.75">
      <c r="A96" s="173"/>
      <c r="B96" s="10"/>
      <c r="C96" s="174"/>
      <c r="D96" s="174"/>
      <c r="E96" s="174"/>
      <c r="F96" s="174"/>
      <c r="G96" s="174"/>
      <c r="P96" s="5"/>
      <c r="Q96" s="5"/>
      <c r="R96" s="10"/>
      <c r="S96" s="10"/>
    </row>
    <row r="97" spans="1:19" s="4" customFormat="1" ht="15.75">
      <c r="A97" s="173"/>
      <c r="B97" s="10"/>
      <c r="C97" s="174"/>
      <c r="D97" s="174"/>
      <c r="E97" s="174"/>
      <c r="F97" s="174"/>
      <c r="G97" s="174"/>
      <c r="P97" s="5"/>
      <c r="Q97" s="5"/>
      <c r="R97" s="10"/>
      <c r="S97" s="10"/>
    </row>
    <row r="98" spans="1:19" s="4" customFormat="1" ht="15.75">
      <c r="A98" s="173"/>
      <c r="B98" s="10"/>
      <c r="C98" s="174"/>
      <c r="D98" s="174"/>
      <c r="E98" s="174"/>
      <c r="F98" s="174"/>
      <c r="G98" s="174"/>
      <c r="P98" s="5"/>
      <c r="Q98" s="5"/>
      <c r="R98" s="10"/>
      <c r="S98" s="10"/>
    </row>
    <row r="99" spans="1:19" s="4" customFormat="1" ht="15.75">
      <c r="A99" s="173"/>
      <c r="B99" s="10"/>
      <c r="C99" s="174"/>
      <c r="D99" s="174"/>
      <c r="E99" s="174"/>
      <c r="F99" s="174"/>
      <c r="G99" s="174"/>
      <c r="P99" s="5"/>
      <c r="Q99" s="5"/>
      <c r="R99" s="10"/>
      <c r="S99" s="10"/>
    </row>
    <row r="100" spans="1:19" s="4" customFormat="1" ht="15.75">
      <c r="A100" s="173"/>
      <c r="B100" s="10"/>
      <c r="C100" s="174"/>
      <c r="D100" s="174"/>
      <c r="E100" s="174"/>
      <c r="F100" s="174"/>
      <c r="G100" s="174"/>
      <c r="P100" s="5"/>
      <c r="Q100" s="5"/>
      <c r="R100" s="10"/>
      <c r="S100" s="10"/>
    </row>
    <row r="101" spans="1:19" s="4" customFormat="1" ht="15.75">
      <c r="A101" s="173"/>
      <c r="B101" s="10"/>
      <c r="C101" s="174"/>
      <c r="D101" s="174"/>
      <c r="E101" s="174"/>
      <c r="F101" s="174"/>
      <c r="G101" s="174"/>
      <c r="P101" s="5"/>
      <c r="Q101" s="5"/>
      <c r="R101" s="10"/>
      <c r="S101" s="10"/>
    </row>
    <row r="102" spans="1:19" s="4" customFormat="1" ht="15.75">
      <c r="A102" s="151"/>
      <c r="B102" s="11"/>
      <c r="C102" s="154"/>
      <c r="D102" s="154"/>
      <c r="E102" s="154"/>
      <c r="F102" s="154"/>
      <c r="G102" s="154"/>
      <c r="H102" s="154"/>
      <c r="I102" s="154"/>
      <c r="J102" s="155"/>
      <c r="K102" s="155"/>
      <c r="L102" s="154"/>
      <c r="M102" s="154"/>
      <c r="N102" s="154"/>
      <c r="O102" s="154"/>
      <c r="P102" s="5"/>
      <c r="Q102" s="5"/>
      <c r="R102" s="10"/>
      <c r="S102" s="10"/>
    </row>
    <row r="103" spans="1:19" s="4" customFormat="1" ht="15.75">
      <c r="A103" s="156"/>
      <c r="B103" s="11"/>
      <c r="C103" s="154"/>
      <c r="D103" s="154"/>
      <c r="E103" s="154"/>
      <c r="F103" s="154"/>
      <c r="G103" s="154"/>
      <c r="H103" s="154"/>
      <c r="I103" s="154"/>
      <c r="J103" s="155"/>
      <c r="K103" s="155"/>
      <c r="L103" s="154"/>
      <c r="M103" s="154"/>
      <c r="N103" s="154"/>
      <c r="O103" s="154"/>
      <c r="P103" s="5"/>
      <c r="Q103" s="5"/>
      <c r="R103" s="10"/>
      <c r="S103" s="10"/>
    </row>
    <row r="104" spans="1:19" s="4" customFormat="1" ht="15.75">
      <c r="A104" s="156"/>
      <c r="B104" s="11"/>
      <c r="C104" s="154"/>
      <c r="D104" s="154"/>
      <c r="E104" s="154"/>
      <c r="F104" s="154"/>
      <c r="G104" s="154"/>
      <c r="H104" s="154"/>
      <c r="I104" s="154"/>
      <c r="J104" s="154"/>
      <c r="K104" s="154"/>
      <c r="L104" s="154"/>
      <c r="M104" s="154"/>
      <c r="N104" s="154"/>
      <c r="O104" s="154"/>
      <c r="P104" s="5"/>
      <c r="Q104" s="5"/>
      <c r="R104" s="10"/>
      <c r="S104" s="10"/>
    </row>
    <row r="105" spans="1:19" s="4" customFormat="1" ht="15.75">
      <c r="A105" s="153"/>
      <c r="B105" s="10"/>
      <c r="C105" s="154"/>
      <c r="D105" s="154"/>
      <c r="E105" s="154"/>
      <c r="F105" s="154"/>
      <c r="G105" s="154"/>
      <c r="H105" s="154"/>
      <c r="I105" s="154"/>
      <c r="J105" s="154"/>
      <c r="K105" s="154"/>
      <c r="L105" s="154"/>
      <c r="M105" s="154"/>
      <c r="N105" s="154"/>
      <c r="O105" s="154"/>
      <c r="R105" s="10"/>
      <c r="S105" s="10"/>
    </row>
    <row r="106" spans="1:17" s="4" customFormat="1" ht="15.75">
      <c r="A106" s="156"/>
      <c r="B106" s="11"/>
      <c r="C106" s="261"/>
      <c r="D106" s="154"/>
      <c r="E106" s="154"/>
      <c r="F106" s="154"/>
      <c r="G106" s="154"/>
      <c r="H106" s="154"/>
      <c r="I106" s="154"/>
      <c r="J106" s="154"/>
      <c r="K106" s="154"/>
      <c r="L106" s="154"/>
      <c r="M106" s="154"/>
      <c r="N106" s="154"/>
      <c r="O106" s="154"/>
      <c r="P106" s="5"/>
      <c r="Q106" s="5"/>
    </row>
    <row r="107" spans="1:17" s="4" customFormat="1" ht="15.75">
      <c r="A107" s="153"/>
      <c r="B107" s="10"/>
      <c r="C107" s="260"/>
      <c r="D107" s="158"/>
      <c r="E107" s="159"/>
      <c r="F107" s="10"/>
      <c r="H107" s="158"/>
      <c r="I107" s="160"/>
      <c r="J107" s="158"/>
      <c r="K107" s="158"/>
      <c r="L107" s="154"/>
      <c r="M107" s="154"/>
      <c r="P107" s="10"/>
      <c r="Q107" s="10"/>
    </row>
    <row r="108" spans="1:13" s="4" customFormat="1" ht="15.75">
      <c r="A108" s="153"/>
      <c r="B108" s="10"/>
      <c r="C108" s="157"/>
      <c r="D108" s="26"/>
      <c r="E108" s="161"/>
      <c r="F108" s="159"/>
      <c r="G108" s="158"/>
      <c r="H108" s="10"/>
      <c r="I108" s="10"/>
      <c r="J108" s="158"/>
      <c r="K108" s="158"/>
      <c r="L108" s="154"/>
      <c r="M108" s="154"/>
    </row>
    <row r="109" spans="1:13" s="4" customFormat="1" ht="16.5" thickBot="1">
      <c r="A109" s="153"/>
      <c r="B109" s="10"/>
      <c r="C109" s="162"/>
      <c r="D109" s="102"/>
      <c r="E109" s="162"/>
      <c r="F109" s="162"/>
      <c r="G109" s="259"/>
      <c r="H109" s="75"/>
      <c r="I109" s="75"/>
      <c r="J109" s="259"/>
      <c r="K109" s="164"/>
      <c r="L109" s="38"/>
      <c r="M109" s="38"/>
    </row>
    <row r="110" spans="1:13" s="4" customFormat="1" ht="15.75">
      <c r="A110" s="153"/>
      <c r="B110" s="10"/>
      <c r="C110" s="157"/>
      <c r="D110" s="39"/>
      <c r="E110" s="160"/>
      <c r="F110" s="159"/>
      <c r="G110" s="154"/>
      <c r="H110" s="10"/>
      <c r="I110" s="10"/>
      <c r="J110" s="154"/>
      <c r="K110" s="154"/>
      <c r="L110" s="154"/>
      <c r="M110" s="154"/>
    </row>
    <row r="111" spans="1:13" s="4" customFormat="1" ht="15.75">
      <c r="A111" s="153"/>
      <c r="B111" s="10"/>
      <c r="C111" s="165"/>
      <c r="D111" s="166"/>
      <c r="E111" s="167"/>
      <c r="F111" s="167"/>
      <c r="G111" s="39"/>
      <c r="H111" s="10"/>
      <c r="I111" s="10"/>
      <c r="J111" s="154"/>
      <c r="K111" s="154"/>
      <c r="L111" s="154"/>
      <c r="M111" s="154"/>
    </row>
    <row r="112" spans="1:13" s="4" customFormat="1" ht="15.75">
      <c r="A112" s="153"/>
      <c r="B112" s="10"/>
      <c r="C112" s="165"/>
      <c r="D112" s="39"/>
      <c r="E112" s="167"/>
      <c r="F112" s="169"/>
      <c r="G112" s="39"/>
      <c r="H112" s="10"/>
      <c r="I112" s="10"/>
      <c r="J112" s="154"/>
      <c r="K112" s="154"/>
      <c r="L112" s="154"/>
      <c r="M112" s="154"/>
    </row>
    <row r="113" spans="1:13" s="4" customFormat="1" ht="15.75">
      <c r="A113" s="153"/>
      <c r="B113" s="10"/>
      <c r="C113" s="165"/>
      <c r="D113" s="39"/>
      <c r="E113" s="167"/>
      <c r="F113" s="168"/>
      <c r="G113" s="39"/>
      <c r="H113" s="10"/>
      <c r="I113" s="10"/>
      <c r="J113" s="154"/>
      <c r="K113" s="154"/>
      <c r="L113" s="154"/>
      <c r="M113" s="154"/>
    </row>
    <row r="114" spans="1:13" s="4" customFormat="1" ht="15.75">
      <c r="A114" s="153"/>
      <c r="B114" s="10"/>
      <c r="C114" s="165"/>
      <c r="D114" s="39"/>
      <c r="E114" s="167"/>
      <c r="F114" s="168"/>
      <c r="G114" s="39"/>
      <c r="H114" s="10"/>
      <c r="I114" s="10"/>
      <c r="J114" s="154"/>
      <c r="K114" s="154"/>
      <c r="L114" s="154"/>
      <c r="M114" s="154"/>
    </row>
    <row r="115" spans="1:13" s="4" customFormat="1" ht="15.75">
      <c r="A115" s="153"/>
      <c r="B115" s="10"/>
      <c r="C115" s="165"/>
      <c r="D115" s="39"/>
      <c r="E115" s="167"/>
      <c r="F115" s="168"/>
      <c r="G115" s="39"/>
      <c r="H115" s="10"/>
      <c r="I115" s="10"/>
      <c r="J115" s="154"/>
      <c r="K115" s="154"/>
      <c r="L115" s="154"/>
      <c r="M115" s="154"/>
    </row>
    <row r="116" spans="1:13" s="4" customFormat="1" ht="15.75">
      <c r="A116" s="153"/>
      <c r="B116" s="10"/>
      <c r="C116" s="165"/>
      <c r="D116" s="39"/>
      <c r="E116" s="167"/>
      <c r="F116" s="170"/>
      <c r="G116" s="154"/>
      <c r="H116" s="10"/>
      <c r="I116" s="10"/>
      <c r="J116" s="154"/>
      <c r="K116" s="154"/>
      <c r="L116" s="154"/>
      <c r="M116" s="154"/>
    </row>
    <row r="117" spans="1:13" s="4" customFormat="1" ht="15.75">
      <c r="A117" s="153"/>
      <c r="B117" s="10"/>
      <c r="C117" s="165"/>
      <c r="D117" s="39"/>
      <c r="E117" s="167"/>
      <c r="F117" s="170"/>
      <c r="G117" s="154"/>
      <c r="H117" s="10"/>
      <c r="I117" s="10"/>
      <c r="J117" s="154"/>
      <c r="K117" s="154"/>
      <c r="L117" s="154"/>
      <c r="M117" s="154"/>
    </row>
    <row r="118" spans="1:13" s="4" customFormat="1" ht="15.75">
      <c r="A118" s="153"/>
      <c r="B118" s="10"/>
      <c r="C118" s="165"/>
      <c r="D118" s="39"/>
      <c r="E118" s="167"/>
      <c r="F118" s="170"/>
      <c r="G118" s="154"/>
      <c r="H118" s="10"/>
      <c r="I118" s="10"/>
      <c r="J118" s="154"/>
      <c r="K118" s="154"/>
      <c r="L118" s="154"/>
      <c r="M118" s="154"/>
    </row>
    <row r="119" spans="1:13" s="4" customFormat="1" ht="15.75">
      <c r="A119" s="153"/>
      <c r="B119" s="10"/>
      <c r="C119" s="165"/>
      <c r="D119" s="39"/>
      <c r="E119" s="167"/>
      <c r="F119" s="170"/>
      <c r="G119" s="154"/>
      <c r="H119" s="10"/>
      <c r="I119" s="10"/>
      <c r="J119" s="154"/>
      <c r="K119" s="154"/>
      <c r="L119" s="154"/>
      <c r="M119" s="154"/>
    </row>
    <row r="120" spans="1:13" s="4" customFormat="1" ht="15.75">
      <c r="A120" s="153"/>
      <c r="B120" s="10"/>
      <c r="C120" s="165"/>
      <c r="D120" s="39"/>
      <c r="E120" s="167"/>
      <c r="F120" s="170"/>
      <c r="G120" s="154"/>
      <c r="H120" s="10"/>
      <c r="I120" s="10"/>
      <c r="J120" s="154"/>
      <c r="K120" s="154"/>
      <c r="L120" s="154"/>
      <c r="M120" s="154"/>
    </row>
    <row r="121" spans="1:13" s="4" customFormat="1" ht="15.75">
      <c r="A121" s="153"/>
      <c r="B121" s="10"/>
      <c r="C121" s="165"/>
      <c r="D121" s="39"/>
      <c r="E121" s="167"/>
      <c r="F121" s="170"/>
      <c r="G121" s="30"/>
      <c r="H121" s="10"/>
      <c r="I121" s="10"/>
      <c r="J121" s="154"/>
      <c r="K121" s="154"/>
      <c r="L121" s="154"/>
      <c r="M121" s="154"/>
    </row>
    <row r="122" spans="1:13" s="4" customFormat="1" ht="15.75">
      <c r="A122" s="153"/>
      <c r="B122" s="10"/>
      <c r="C122" s="165"/>
      <c r="D122" s="39"/>
      <c r="E122" s="167"/>
      <c r="F122" s="170"/>
      <c r="G122" s="30"/>
      <c r="H122" s="10"/>
      <c r="I122" s="10"/>
      <c r="J122" s="154"/>
      <c r="K122" s="154"/>
      <c r="L122" s="154"/>
      <c r="M122" s="154"/>
    </row>
    <row r="123" spans="1:13" s="4" customFormat="1" ht="15.75">
      <c r="A123" s="153"/>
      <c r="B123" s="10"/>
      <c r="C123" s="165"/>
      <c r="D123" s="39"/>
      <c r="E123" s="167"/>
      <c r="F123" s="170"/>
      <c r="G123" s="154"/>
      <c r="H123" s="10"/>
      <c r="I123" s="10"/>
      <c r="J123" s="154"/>
      <c r="K123" s="154"/>
      <c r="L123" s="154"/>
      <c r="M123" s="154"/>
    </row>
    <row r="124" spans="1:13" s="4" customFormat="1" ht="15.75">
      <c r="A124" s="153"/>
      <c r="B124" s="10"/>
      <c r="C124" s="165"/>
      <c r="D124" s="39"/>
      <c r="E124" s="167"/>
      <c r="F124" s="167"/>
      <c r="G124" s="154"/>
      <c r="H124" s="10"/>
      <c r="I124" s="10"/>
      <c r="J124" s="154"/>
      <c r="K124" s="154"/>
      <c r="L124" s="154"/>
      <c r="M124" s="154"/>
    </row>
    <row r="125" spans="1:13" s="4" customFormat="1" ht="15.75">
      <c r="A125" s="153"/>
      <c r="B125" s="10"/>
      <c r="C125" s="165"/>
      <c r="D125" s="39"/>
      <c r="E125" s="160"/>
      <c r="F125" s="171"/>
      <c r="G125" s="154"/>
      <c r="H125" s="10"/>
      <c r="I125" s="10"/>
      <c r="J125" s="154"/>
      <c r="K125" s="154"/>
      <c r="L125" s="154"/>
      <c r="M125" s="154"/>
    </row>
    <row r="126" spans="1:13" s="4" customFormat="1" ht="15.75">
      <c r="A126" s="153"/>
      <c r="B126" s="10"/>
      <c r="C126" s="165"/>
      <c r="D126" s="10"/>
      <c r="E126" s="160"/>
      <c r="F126" s="171"/>
      <c r="G126" s="154"/>
      <c r="H126" s="10"/>
      <c r="I126" s="10"/>
      <c r="J126" s="154"/>
      <c r="K126" s="154"/>
      <c r="L126" s="154"/>
      <c r="M126" s="154"/>
    </row>
    <row r="127" spans="1:17" s="4" customFormat="1" ht="15.75">
      <c r="A127" s="153"/>
      <c r="B127" s="10"/>
      <c r="C127" s="172"/>
      <c r="D127" s="154"/>
      <c r="E127" s="160"/>
      <c r="F127" s="171"/>
      <c r="G127" s="10"/>
      <c r="H127" s="154"/>
      <c r="I127" s="154"/>
      <c r="J127" s="154"/>
      <c r="K127" s="154"/>
      <c r="L127" s="5"/>
      <c r="M127" s="5"/>
      <c r="N127" s="5"/>
      <c r="O127" s="5"/>
      <c r="P127" s="10"/>
      <c r="Q127" s="10"/>
    </row>
    <row r="128" spans="1:18" s="4" customFormat="1" ht="15.75">
      <c r="A128" s="173"/>
      <c r="B128" s="10"/>
      <c r="C128" s="174"/>
      <c r="D128" s="174"/>
      <c r="E128" s="174"/>
      <c r="F128" s="174"/>
      <c r="G128" s="174"/>
      <c r="P128" s="5"/>
      <c r="Q128" s="5"/>
      <c r="R128" s="10"/>
    </row>
    <row r="129" spans="1:18" s="4" customFormat="1" ht="15.75">
      <c r="A129" s="173"/>
      <c r="B129" s="10"/>
      <c r="C129" s="174"/>
      <c r="D129" s="174"/>
      <c r="E129" s="174"/>
      <c r="F129" s="174"/>
      <c r="G129" s="174"/>
      <c r="P129" s="5"/>
      <c r="Q129" s="5"/>
      <c r="R129" s="10"/>
    </row>
    <row r="130" spans="1:18" s="4" customFormat="1" ht="15.75">
      <c r="A130" s="173"/>
      <c r="B130" s="10"/>
      <c r="C130" s="174"/>
      <c r="D130" s="174"/>
      <c r="E130" s="174"/>
      <c r="F130" s="174"/>
      <c r="G130" s="174"/>
      <c r="P130" s="5"/>
      <c r="Q130" s="5"/>
      <c r="R130" s="10"/>
    </row>
    <row r="131" spans="1:18" s="4" customFormat="1" ht="15.75">
      <c r="A131" s="173"/>
      <c r="B131" s="10"/>
      <c r="C131" s="174"/>
      <c r="D131" s="174"/>
      <c r="E131" s="174"/>
      <c r="F131" s="174"/>
      <c r="G131" s="174"/>
      <c r="P131" s="5"/>
      <c r="Q131" s="5"/>
      <c r="R131" s="10"/>
    </row>
    <row r="132" spans="1:18" s="4" customFormat="1" ht="15.75">
      <c r="A132" s="173"/>
      <c r="B132" s="10"/>
      <c r="C132" s="174"/>
      <c r="D132" s="174"/>
      <c r="E132" s="174"/>
      <c r="F132" s="174"/>
      <c r="G132" s="174"/>
      <c r="P132" s="5"/>
      <c r="Q132" s="5"/>
      <c r="R132" s="10"/>
    </row>
    <row r="133" spans="1:18" s="4" customFormat="1" ht="15.75">
      <c r="A133" s="173"/>
      <c r="B133" s="10"/>
      <c r="C133" s="174"/>
      <c r="D133" s="174"/>
      <c r="E133" s="174"/>
      <c r="F133" s="174"/>
      <c r="G133" s="174"/>
      <c r="P133" s="5"/>
      <c r="Q133" s="5"/>
      <c r="R133" s="10"/>
    </row>
    <row r="134" spans="1:18" s="4" customFormat="1" ht="15.75">
      <c r="A134" s="173"/>
      <c r="B134" s="10"/>
      <c r="C134" s="139"/>
      <c r="D134" s="139"/>
      <c r="E134" s="139"/>
      <c r="F134" s="111"/>
      <c r="G134" s="112"/>
      <c r="H134" s="5"/>
      <c r="I134" s="5"/>
      <c r="J134" s="5"/>
      <c r="K134" s="5"/>
      <c r="L134" s="5"/>
      <c r="M134" s="5"/>
      <c r="N134" s="5"/>
      <c r="O134" s="5"/>
      <c r="P134" s="5"/>
      <c r="Q134" s="28"/>
      <c r="R134" s="10"/>
    </row>
    <row r="135" spans="1:18" s="4" customFormat="1" ht="15.75">
      <c r="A135" s="173"/>
      <c r="B135" s="10"/>
      <c r="C135" s="139"/>
      <c r="D135" s="139"/>
      <c r="E135" s="139"/>
      <c r="F135" s="111"/>
      <c r="G135" s="112"/>
      <c r="H135" s="5"/>
      <c r="I135" s="5"/>
      <c r="J135" s="5"/>
      <c r="K135" s="5"/>
      <c r="L135" s="5"/>
      <c r="M135" s="5"/>
      <c r="N135" s="5"/>
      <c r="O135" s="5"/>
      <c r="P135" s="5"/>
      <c r="Q135" s="28"/>
      <c r="R135" s="10"/>
    </row>
    <row r="136" spans="1:18" s="4" customFormat="1" ht="15.75">
      <c r="A136" s="173"/>
      <c r="B136" s="10"/>
      <c r="C136" s="139"/>
      <c r="D136" s="139"/>
      <c r="E136" s="139"/>
      <c r="F136" s="111"/>
      <c r="G136" s="111"/>
      <c r="H136" s="5"/>
      <c r="I136" s="5"/>
      <c r="J136" s="5"/>
      <c r="K136" s="5"/>
      <c r="L136" s="5"/>
      <c r="M136" s="5"/>
      <c r="N136" s="5"/>
      <c r="O136" s="5"/>
      <c r="P136" s="5"/>
      <c r="Q136" s="28"/>
      <c r="R136" s="10"/>
    </row>
    <row r="137" spans="1:18" s="4" customFormat="1" ht="15.75">
      <c r="A137" s="173"/>
      <c r="B137" s="10"/>
      <c r="C137" s="30"/>
      <c r="D137" s="30"/>
      <c r="E137" s="30"/>
      <c r="F137" s="31"/>
      <c r="G137" s="31"/>
      <c r="H137" s="5"/>
      <c r="I137" s="5"/>
      <c r="J137" s="5"/>
      <c r="K137" s="5"/>
      <c r="L137" s="5"/>
      <c r="M137" s="5"/>
      <c r="N137" s="5"/>
      <c r="O137" s="5"/>
      <c r="P137" s="5"/>
      <c r="Q137" s="28"/>
      <c r="R137" s="10"/>
    </row>
    <row r="138" spans="1:18" s="4" customFormat="1" ht="15.75">
      <c r="A138" s="151"/>
      <c r="C138" s="17"/>
      <c r="F138" s="29"/>
      <c r="G138" s="29"/>
      <c r="H138" s="5"/>
      <c r="I138" s="5"/>
      <c r="J138" s="5"/>
      <c r="K138" s="5"/>
      <c r="L138" s="5"/>
      <c r="M138" s="5"/>
      <c r="N138" s="5"/>
      <c r="O138" s="5"/>
      <c r="P138" s="5"/>
      <c r="Q138" s="28"/>
      <c r="R138" s="10"/>
    </row>
    <row r="139" spans="1:18" s="4" customFormat="1" ht="15.75">
      <c r="A139" s="173"/>
      <c r="B139" s="10"/>
      <c r="C139" s="30"/>
      <c r="D139" s="30"/>
      <c r="E139" s="30"/>
      <c r="F139" s="31"/>
      <c r="G139" s="31"/>
      <c r="H139" s="5"/>
      <c r="I139" s="5"/>
      <c r="J139" s="5"/>
      <c r="K139" s="5"/>
      <c r="L139" s="5"/>
      <c r="M139" s="5"/>
      <c r="N139" s="5"/>
      <c r="O139" s="5"/>
      <c r="P139" s="5"/>
      <c r="Q139" s="28"/>
      <c r="R139" s="10"/>
    </row>
    <row r="140" spans="1:18" s="4" customFormat="1" ht="15.75">
      <c r="A140" s="151"/>
      <c r="C140" s="17"/>
      <c r="D140" s="17"/>
      <c r="E140" s="17"/>
      <c r="F140" s="29"/>
      <c r="G140" s="29"/>
      <c r="H140" s="5"/>
      <c r="I140" s="5"/>
      <c r="J140" s="5"/>
      <c r="K140" s="5"/>
      <c r="L140" s="5"/>
      <c r="M140" s="5"/>
      <c r="N140" s="5"/>
      <c r="O140" s="5"/>
      <c r="P140" s="5"/>
      <c r="Q140" s="28"/>
      <c r="R140" s="10"/>
    </row>
    <row r="141" spans="1:18" s="4" customFormat="1" ht="15.75">
      <c r="A141" s="173"/>
      <c r="B141" s="10"/>
      <c r="C141" s="10"/>
      <c r="D141" s="30"/>
      <c r="E141" s="30"/>
      <c r="F141" s="31"/>
      <c r="G141" s="31"/>
      <c r="H141" s="5"/>
      <c r="I141" s="5"/>
      <c r="J141" s="5"/>
      <c r="K141" s="5"/>
      <c r="L141" s="5"/>
      <c r="M141" s="5"/>
      <c r="N141" s="5"/>
      <c r="O141" s="5"/>
      <c r="P141" s="5"/>
      <c r="Q141" s="28"/>
      <c r="R141" s="10"/>
    </row>
    <row r="142" spans="1:18" s="4" customFormat="1" ht="15.75">
      <c r="A142" s="151"/>
      <c r="D142" s="17"/>
      <c r="E142" s="17"/>
      <c r="F142" s="29"/>
      <c r="G142" s="29"/>
      <c r="H142" s="5"/>
      <c r="I142" s="5"/>
      <c r="J142" s="5"/>
      <c r="K142" s="5"/>
      <c r="L142" s="5"/>
      <c r="M142" s="5"/>
      <c r="N142" s="5"/>
      <c r="O142" s="5"/>
      <c r="P142" s="5"/>
      <c r="Q142" s="28"/>
      <c r="R142" s="10"/>
    </row>
    <row r="143" spans="1:18" s="4" customFormat="1" ht="15.75">
      <c r="A143" s="151"/>
      <c r="C143" s="17"/>
      <c r="D143" s="17"/>
      <c r="E143" s="17"/>
      <c r="F143" s="29"/>
      <c r="G143" s="29"/>
      <c r="H143" s="5"/>
      <c r="I143" s="5"/>
      <c r="J143" s="5"/>
      <c r="K143" s="5"/>
      <c r="L143" s="5"/>
      <c r="M143" s="5"/>
      <c r="N143" s="5"/>
      <c r="O143" s="5"/>
      <c r="P143" s="5"/>
      <c r="Q143" s="28"/>
      <c r="R143" s="10"/>
    </row>
    <row r="144" spans="1:18" s="4" customFormat="1" ht="15.75">
      <c r="A144" s="151"/>
      <c r="C144" s="14"/>
      <c r="D144" s="14"/>
      <c r="E144" s="14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5"/>
      <c r="Q144" s="5"/>
      <c r="R144" s="10"/>
    </row>
    <row r="145" spans="1:27" s="4" customFormat="1" ht="15.75">
      <c r="A145" s="25"/>
      <c r="C145" s="14"/>
      <c r="D145" s="14"/>
      <c r="E145" s="14"/>
      <c r="F145" s="9"/>
      <c r="G145" s="14"/>
      <c r="H145" s="14"/>
      <c r="I145" s="14"/>
      <c r="J145" s="14"/>
      <c r="K145" s="19"/>
      <c r="L145" s="9"/>
      <c r="M145" s="175"/>
      <c r="N145" s="9"/>
      <c r="O145" s="9"/>
      <c r="P145" s="5"/>
      <c r="Q145" s="5"/>
      <c r="R145" s="10"/>
      <c r="S145" s="10"/>
      <c r="T145" s="10"/>
      <c r="U145" s="10"/>
      <c r="V145" s="10"/>
      <c r="W145" s="10"/>
      <c r="X145" s="10"/>
      <c r="Y145" s="10"/>
      <c r="Z145" s="10"/>
      <c r="AA145" s="10"/>
    </row>
    <row r="146" spans="1:27" s="4" customFormat="1" ht="15.75">
      <c r="A146" s="25"/>
      <c r="C146" s="14"/>
      <c r="D146" s="14"/>
      <c r="E146" s="14"/>
      <c r="F146" s="9"/>
      <c r="G146" s="14"/>
      <c r="H146" s="14"/>
      <c r="I146" s="14"/>
      <c r="J146" s="14"/>
      <c r="K146" s="176"/>
      <c r="L146" s="9"/>
      <c r="M146" s="175"/>
      <c r="N146" s="9"/>
      <c r="O146" s="9"/>
      <c r="P146" s="5"/>
      <c r="Q146" s="5"/>
      <c r="R146" s="10"/>
      <c r="S146" s="10"/>
      <c r="T146" s="10"/>
      <c r="U146" s="10"/>
      <c r="V146" s="10"/>
      <c r="W146" s="10"/>
      <c r="X146" s="10"/>
      <c r="Y146" s="10"/>
      <c r="Z146" s="10"/>
      <c r="AA146" s="10"/>
    </row>
    <row r="147" spans="1:27" s="4" customFormat="1" ht="15.75">
      <c r="A147" s="25"/>
      <c r="F147" s="5"/>
      <c r="G147" s="5"/>
      <c r="H147" s="5"/>
      <c r="K147" s="17"/>
      <c r="L147" s="5"/>
      <c r="M147" s="5"/>
      <c r="N147" s="5"/>
      <c r="O147" s="5"/>
      <c r="P147" s="5"/>
      <c r="Q147" s="5"/>
      <c r="R147" s="10"/>
      <c r="S147" s="10"/>
      <c r="T147" s="10"/>
      <c r="U147" s="10"/>
      <c r="V147" s="10"/>
      <c r="W147" s="10"/>
      <c r="X147" s="10"/>
      <c r="Y147" s="10"/>
      <c r="Z147" s="10"/>
      <c r="AA147" s="10"/>
    </row>
    <row r="148" spans="1:27" s="4" customFormat="1" ht="15.75">
      <c r="A148" s="17"/>
      <c r="C148" s="181"/>
      <c r="E148" s="5"/>
      <c r="F148" s="5"/>
      <c r="S148" s="10"/>
      <c r="T148" s="10"/>
      <c r="U148" s="10"/>
      <c r="V148" s="10"/>
      <c r="W148" s="10"/>
      <c r="X148" s="10"/>
      <c r="Y148" s="10"/>
      <c r="Z148" s="10"/>
      <c r="AA148" s="10"/>
    </row>
    <row r="149" spans="1:27" s="4" customFormat="1" ht="15.75">
      <c r="A149" s="17"/>
      <c r="C149" s="181"/>
      <c r="E149" s="5"/>
      <c r="F149" s="5"/>
      <c r="S149" s="10"/>
      <c r="T149" s="10"/>
      <c r="U149" s="10"/>
      <c r="V149" s="10"/>
      <c r="W149" s="10"/>
      <c r="X149" s="10"/>
      <c r="Y149" s="10"/>
      <c r="Z149" s="10"/>
      <c r="AA149" s="10"/>
    </row>
    <row r="150" spans="1:27" s="4" customFormat="1" ht="15.75">
      <c r="A150" s="17"/>
      <c r="C150" s="182"/>
      <c r="E150" s="5"/>
      <c r="F150" s="5"/>
      <c r="S150" s="10"/>
      <c r="T150" s="10"/>
      <c r="U150" s="10"/>
      <c r="V150" s="10"/>
      <c r="W150" s="10"/>
      <c r="X150" s="10"/>
      <c r="Y150" s="10"/>
      <c r="Z150" s="10"/>
      <c r="AA150" s="10"/>
    </row>
    <row r="151" spans="1:27" s="4" customFormat="1" ht="15.75">
      <c r="A151" s="17"/>
      <c r="C151" s="181"/>
      <c r="E151" s="111"/>
      <c r="F151" s="5"/>
      <c r="S151" s="10"/>
      <c r="T151" s="10"/>
      <c r="U151" s="10"/>
      <c r="V151" s="10"/>
      <c r="W151" s="10"/>
      <c r="X151" s="10"/>
      <c r="Y151" s="10"/>
      <c r="Z151" s="10"/>
      <c r="AA151" s="10"/>
    </row>
    <row r="152" spans="1:27" s="4" customFormat="1" ht="15.75">
      <c r="A152" s="29"/>
      <c r="E152" s="5"/>
      <c r="S152" s="10"/>
      <c r="T152" s="10"/>
      <c r="U152" s="10"/>
      <c r="V152" s="10"/>
      <c r="W152" s="10"/>
      <c r="X152" s="10"/>
      <c r="Y152" s="10"/>
      <c r="Z152" s="10"/>
      <c r="AA152" s="10"/>
    </row>
    <row r="153" s="4" customFormat="1" ht="15.75">
      <c r="A153" s="17"/>
    </row>
    <row r="154" s="4" customFormat="1" ht="15.75">
      <c r="A154" s="17"/>
    </row>
    <row r="155" s="4" customFormat="1" ht="15.75">
      <c r="A155" s="17"/>
    </row>
    <row r="156" s="4" customFormat="1" ht="15.75">
      <c r="A156" s="17"/>
    </row>
    <row r="157" s="4" customFormat="1" ht="15.75">
      <c r="A157" s="17"/>
    </row>
    <row r="158" s="4" customFormat="1" ht="15.75">
      <c r="A158" s="17"/>
    </row>
    <row r="159" s="4" customFormat="1" ht="15.75">
      <c r="A159" s="17"/>
    </row>
    <row r="160" s="4" customFormat="1" ht="15.75">
      <c r="A160" s="17"/>
    </row>
    <row r="161" s="4" customFormat="1" ht="15.75">
      <c r="A161" s="17"/>
    </row>
    <row r="162" s="4" customFormat="1" ht="15.75">
      <c r="A162" s="17"/>
    </row>
    <row r="163" s="4" customFormat="1" ht="15.75">
      <c r="A163" s="17"/>
    </row>
    <row r="164" s="4" customFormat="1" ht="15.75">
      <c r="A164" s="17"/>
    </row>
    <row r="165" s="4" customFormat="1" ht="15.75">
      <c r="A165" s="17"/>
    </row>
    <row r="166" s="4" customFormat="1" ht="15.75">
      <c r="A166" s="17"/>
    </row>
    <row r="167" s="4" customFormat="1" ht="15.75">
      <c r="A167" s="17"/>
    </row>
    <row r="168" s="4" customFormat="1" ht="15.75">
      <c r="A168" s="17"/>
    </row>
    <row r="169" s="4" customFormat="1" ht="15.75">
      <c r="A169" s="17"/>
    </row>
    <row r="170" s="4" customFormat="1" ht="15.75">
      <c r="A170" s="17"/>
    </row>
    <row r="171" s="4" customFormat="1" ht="15.75">
      <c r="A171" s="17"/>
    </row>
    <row r="172" s="4" customFormat="1" ht="15.75">
      <c r="A172" s="17"/>
    </row>
    <row r="173" s="4" customFormat="1" ht="15.75">
      <c r="A173" s="17"/>
    </row>
    <row r="174" s="4" customFormat="1" ht="15.75">
      <c r="A174" s="17"/>
    </row>
    <row r="175" s="4" customFormat="1" ht="15.75">
      <c r="A175" s="17"/>
    </row>
    <row r="176" s="4" customFormat="1" ht="15.75">
      <c r="A176" s="17"/>
    </row>
    <row r="177" s="4" customFormat="1" ht="15.75">
      <c r="A177" s="17"/>
    </row>
    <row r="178" s="4" customFormat="1" ht="15.75">
      <c r="A178" s="17"/>
    </row>
    <row r="179" s="4" customFormat="1" ht="15.75">
      <c r="A179" s="17"/>
    </row>
    <row r="180" s="4" customFormat="1" ht="15.75">
      <c r="A180" s="17"/>
    </row>
    <row r="181" s="4" customFormat="1" ht="15.75">
      <c r="A181" s="17"/>
    </row>
    <row r="182" s="4" customFormat="1" ht="15.75">
      <c r="A182" s="17"/>
    </row>
    <row r="183" s="4" customFormat="1" ht="15.75">
      <c r="A183" s="17"/>
    </row>
    <row r="184" s="4" customFormat="1" ht="15.75">
      <c r="A184" s="17"/>
    </row>
    <row r="185" s="4" customFormat="1" ht="15.75">
      <c r="A185" s="17"/>
    </row>
    <row r="186" s="4" customFormat="1" ht="15.75">
      <c r="A186" s="17"/>
    </row>
    <row r="187" s="4" customFormat="1" ht="15.75">
      <c r="A187" s="17"/>
    </row>
    <row r="188" s="4" customFormat="1" ht="15.75">
      <c r="A188" s="17"/>
    </row>
    <row r="189" s="4" customFormat="1" ht="15.75">
      <c r="A189" s="17"/>
    </row>
    <row r="190" s="4" customFormat="1" ht="15.75">
      <c r="A190" s="17"/>
    </row>
    <row r="191" s="4" customFormat="1" ht="15.75">
      <c r="A191" s="17"/>
    </row>
    <row r="192" s="4" customFormat="1" ht="15.75">
      <c r="A192" s="17"/>
    </row>
    <row r="193" s="4" customFormat="1" ht="15.75">
      <c r="A193" s="17"/>
    </row>
    <row r="194" s="4" customFormat="1" ht="15.75">
      <c r="A194" s="17"/>
    </row>
    <row r="195" s="4" customFormat="1" ht="15.75">
      <c r="A195" s="17"/>
    </row>
    <row r="196" s="4" customFormat="1" ht="15.75">
      <c r="A196" s="17"/>
    </row>
    <row r="197" s="4" customFormat="1" ht="15.75">
      <c r="A197" s="17"/>
    </row>
    <row r="198" s="4" customFormat="1" ht="15.75">
      <c r="A198" s="17"/>
    </row>
    <row r="199" s="4" customFormat="1" ht="15.75">
      <c r="A199" s="17"/>
    </row>
    <row r="200" s="4" customFormat="1" ht="15.75">
      <c r="A200" s="17"/>
    </row>
    <row r="201" s="4" customFormat="1" ht="15.75">
      <c r="A201" s="17"/>
    </row>
    <row r="202" s="4" customFormat="1" ht="15.75">
      <c r="A202" s="17"/>
    </row>
    <row r="203" s="4" customFormat="1" ht="15.75">
      <c r="A203" s="17"/>
    </row>
    <row r="204" s="4" customFormat="1" ht="15.75">
      <c r="A204" s="17"/>
    </row>
    <row r="205" s="4" customFormat="1" ht="15.75">
      <c r="A205" s="17"/>
    </row>
    <row r="206" s="4" customFormat="1" ht="15.75">
      <c r="A206" s="17"/>
    </row>
    <row r="207" s="4" customFormat="1" ht="15.75">
      <c r="A207" s="17"/>
    </row>
    <row r="208" s="4" customFormat="1" ht="15.75">
      <c r="A208" s="17"/>
    </row>
    <row r="209" s="4" customFormat="1" ht="15.75">
      <c r="A209" s="17"/>
    </row>
    <row r="210" s="4" customFormat="1" ht="15.75">
      <c r="A210" s="17"/>
    </row>
    <row r="211" s="4" customFormat="1" ht="15.75">
      <c r="A211" s="17"/>
    </row>
    <row r="212" s="4" customFormat="1" ht="15.75">
      <c r="A212" s="17"/>
    </row>
    <row r="213" s="4" customFormat="1" ht="15.75">
      <c r="A213" s="17"/>
    </row>
    <row r="214" s="4" customFormat="1" ht="15.75">
      <c r="A214" s="17"/>
    </row>
    <row r="215" s="4" customFormat="1" ht="15.75">
      <c r="A215" s="17"/>
    </row>
    <row r="216" s="4" customFormat="1" ht="15.75">
      <c r="A216" s="17"/>
    </row>
    <row r="217" s="4" customFormat="1" ht="15.75">
      <c r="A217" s="17"/>
    </row>
    <row r="218" s="4" customFormat="1" ht="15.75">
      <c r="A218" s="17"/>
    </row>
    <row r="219" s="4" customFormat="1" ht="15.75">
      <c r="A219" s="17"/>
    </row>
    <row r="220" s="4" customFormat="1" ht="15.75">
      <c r="A220" s="17"/>
    </row>
    <row r="221" s="4" customFormat="1" ht="15.75">
      <c r="A221" s="17"/>
    </row>
    <row r="222" s="4" customFormat="1" ht="15.75">
      <c r="A222" s="17"/>
    </row>
    <row r="223" s="4" customFormat="1" ht="15.75">
      <c r="A223" s="17"/>
    </row>
    <row r="224" s="4" customFormat="1" ht="15.75">
      <c r="A224" s="17"/>
    </row>
    <row r="225" s="4" customFormat="1" ht="15.75">
      <c r="A225" s="17"/>
    </row>
    <row r="226" s="4" customFormat="1" ht="15.75">
      <c r="A226" s="17"/>
    </row>
    <row r="227" s="4" customFormat="1" ht="15.75">
      <c r="A227" s="17"/>
    </row>
    <row r="228" s="4" customFormat="1" ht="15.75">
      <c r="A228" s="17"/>
    </row>
    <row r="229" s="4" customFormat="1" ht="15.75">
      <c r="A229" s="17"/>
    </row>
    <row r="230" s="4" customFormat="1" ht="15.75">
      <c r="A230" s="17"/>
    </row>
    <row r="231" s="4" customFormat="1" ht="15.75">
      <c r="A231" s="17"/>
    </row>
    <row r="232" s="4" customFormat="1" ht="15.75">
      <c r="A232" s="17"/>
    </row>
    <row r="233" s="4" customFormat="1" ht="15.75">
      <c r="A233" s="17"/>
    </row>
    <row r="234" s="4" customFormat="1" ht="15.75">
      <c r="A234" s="17"/>
    </row>
    <row r="235" s="4" customFormat="1" ht="15.75">
      <c r="A235" s="17"/>
    </row>
    <row r="236" s="4" customFormat="1" ht="15.75">
      <c r="A236" s="17"/>
    </row>
    <row r="237" s="4" customFormat="1" ht="15.75">
      <c r="A237" s="17"/>
    </row>
    <row r="238" s="4" customFormat="1" ht="15.75">
      <c r="A238" s="17"/>
    </row>
    <row r="239" s="4" customFormat="1" ht="15.75">
      <c r="A239" s="17"/>
    </row>
    <row r="240" s="4" customFormat="1" ht="15.75">
      <c r="A240" s="17"/>
    </row>
    <row r="241" s="4" customFormat="1" ht="15.75">
      <c r="A241" s="17"/>
    </row>
    <row r="242" s="4" customFormat="1" ht="15.75">
      <c r="A242" s="17"/>
    </row>
    <row r="243" s="4" customFormat="1" ht="15.75">
      <c r="A243" s="17"/>
    </row>
    <row r="244" s="4" customFormat="1" ht="15.75">
      <c r="A244" s="17"/>
    </row>
    <row r="245" s="4" customFormat="1" ht="15.75">
      <c r="A245" s="17"/>
    </row>
    <row r="246" s="4" customFormat="1" ht="15.75">
      <c r="A246" s="17"/>
    </row>
    <row r="247" s="4" customFormat="1" ht="15.75">
      <c r="A247" s="17"/>
    </row>
    <row r="248" s="4" customFormat="1" ht="15.75">
      <c r="A248" s="17"/>
    </row>
    <row r="249" s="4" customFormat="1" ht="15.75">
      <c r="A249" s="17"/>
    </row>
    <row r="250" s="4" customFormat="1" ht="15.75">
      <c r="A250" s="17"/>
    </row>
    <row r="251" s="4" customFormat="1" ht="15.75">
      <c r="A251" s="17"/>
    </row>
    <row r="252" s="4" customFormat="1" ht="15.75">
      <c r="A252" s="17"/>
    </row>
    <row r="253" s="4" customFormat="1" ht="15.75">
      <c r="A253" s="17"/>
    </row>
    <row r="254" s="4" customFormat="1" ht="15.75">
      <c r="A254" s="17"/>
    </row>
    <row r="255" s="4" customFormat="1" ht="15.75">
      <c r="A255" s="17"/>
    </row>
    <row r="256" s="4" customFormat="1" ht="15.75">
      <c r="A256" s="17"/>
    </row>
    <row r="257" s="4" customFormat="1" ht="15.75">
      <c r="A257" s="17"/>
    </row>
    <row r="258" s="4" customFormat="1" ht="15.75">
      <c r="A258" s="17"/>
    </row>
    <row r="259" s="4" customFormat="1" ht="15.75">
      <c r="A259" s="17"/>
    </row>
    <row r="260" s="4" customFormat="1" ht="15.75">
      <c r="A260" s="17"/>
    </row>
    <row r="261" s="4" customFormat="1" ht="15.75">
      <c r="A261" s="17"/>
    </row>
    <row r="262" s="4" customFormat="1" ht="15.75">
      <c r="A262" s="17"/>
    </row>
    <row r="263" s="4" customFormat="1" ht="15.75">
      <c r="A263" s="17"/>
    </row>
    <row r="264" s="4" customFormat="1" ht="15.75">
      <c r="A264" s="17"/>
    </row>
    <row r="265" s="4" customFormat="1" ht="15.75">
      <c r="A265" s="17"/>
    </row>
    <row r="266" s="4" customFormat="1" ht="15.75">
      <c r="A266" s="17"/>
    </row>
    <row r="267" s="4" customFormat="1" ht="15.75">
      <c r="A267" s="17"/>
    </row>
    <row r="268" s="4" customFormat="1" ht="15.75">
      <c r="A268" s="17"/>
    </row>
    <row r="269" s="4" customFormat="1" ht="15.75">
      <c r="A269" s="17"/>
    </row>
    <row r="270" s="4" customFormat="1" ht="15.75">
      <c r="A270" s="17"/>
    </row>
    <row r="271" s="4" customFormat="1" ht="15.75">
      <c r="A271" s="17"/>
    </row>
    <row r="272" s="4" customFormat="1" ht="15.75">
      <c r="A272" s="17"/>
    </row>
    <row r="273" s="4" customFormat="1" ht="15.75">
      <c r="A273" s="17"/>
    </row>
    <row r="274" s="4" customFormat="1" ht="15.75">
      <c r="A274" s="17"/>
    </row>
    <row r="275" s="4" customFormat="1" ht="15.75">
      <c r="A275" s="17"/>
    </row>
    <row r="276" s="4" customFormat="1" ht="15.75">
      <c r="A276" s="17"/>
    </row>
    <row r="277" s="4" customFormat="1" ht="15.75">
      <c r="A277" s="17"/>
    </row>
    <row r="278" s="4" customFormat="1" ht="15.75">
      <c r="A278" s="17"/>
    </row>
    <row r="279" s="4" customFormat="1" ht="15.75">
      <c r="A279" s="17"/>
    </row>
    <row r="280" s="4" customFormat="1" ht="15.75">
      <c r="A280" s="17"/>
    </row>
    <row r="281" s="4" customFormat="1" ht="15.75">
      <c r="A281" s="17"/>
    </row>
    <row r="282" s="4" customFormat="1" ht="15.75">
      <c r="A282" s="17"/>
    </row>
    <row r="283" s="4" customFormat="1" ht="15.75">
      <c r="A283" s="17"/>
    </row>
    <row r="284" s="4" customFormat="1" ht="15.75">
      <c r="A284" s="17"/>
    </row>
    <row r="285" s="4" customFormat="1" ht="15.75">
      <c r="A285" s="17"/>
    </row>
    <row r="286" s="4" customFormat="1" ht="15.75">
      <c r="A286" s="17"/>
    </row>
    <row r="287" s="4" customFormat="1" ht="15.75">
      <c r="A287" s="17"/>
    </row>
    <row r="288" s="4" customFormat="1" ht="15.75">
      <c r="A288" s="17"/>
    </row>
    <row r="289" s="4" customFormat="1" ht="15.75">
      <c r="A289" s="17"/>
    </row>
    <row r="290" s="4" customFormat="1" ht="15.75">
      <c r="A290" s="17"/>
    </row>
    <row r="291" s="4" customFormat="1" ht="15.75">
      <c r="A291" s="17"/>
    </row>
    <row r="292" s="4" customFormat="1" ht="15.75">
      <c r="A292" s="17"/>
    </row>
    <row r="293" s="4" customFormat="1" ht="15.75">
      <c r="A293" s="17"/>
    </row>
    <row r="294" s="4" customFormat="1" ht="15.75">
      <c r="A294" s="17"/>
    </row>
    <row r="295" s="4" customFormat="1" ht="15.75">
      <c r="A295" s="17"/>
    </row>
    <row r="296" s="4" customFormat="1" ht="15.75">
      <c r="A296" s="17"/>
    </row>
    <row r="297" s="4" customFormat="1" ht="15.75">
      <c r="A297" s="17"/>
    </row>
    <row r="298" s="4" customFormat="1" ht="15.75">
      <c r="A298" s="17"/>
    </row>
    <row r="299" s="4" customFormat="1" ht="15.75">
      <c r="A299" s="17"/>
    </row>
    <row r="300" s="4" customFormat="1" ht="15.75">
      <c r="A300" s="17"/>
    </row>
    <row r="301" s="4" customFormat="1" ht="15.75">
      <c r="A301" s="17"/>
    </row>
    <row r="302" s="4" customFormat="1" ht="15.75">
      <c r="A302" s="17"/>
    </row>
    <row r="303" s="4" customFormat="1" ht="15.75">
      <c r="A303" s="17"/>
    </row>
    <row r="304" s="4" customFormat="1" ht="15.75">
      <c r="A304" s="17"/>
    </row>
    <row r="305" s="4" customFormat="1" ht="15.75">
      <c r="A305" s="17"/>
    </row>
    <row r="306" s="4" customFormat="1" ht="15.75">
      <c r="A306" s="17"/>
    </row>
    <row r="307" s="4" customFormat="1" ht="15.75">
      <c r="A307" s="17"/>
    </row>
    <row r="308" s="4" customFormat="1" ht="15.75">
      <c r="A308" s="17"/>
    </row>
    <row r="309" s="4" customFormat="1" ht="15.75">
      <c r="A309" s="17"/>
    </row>
    <row r="310" s="4" customFormat="1" ht="15.75">
      <c r="A310" s="17"/>
    </row>
    <row r="311" s="4" customFormat="1" ht="15.75">
      <c r="A311" s="17"/>
    </row>
    <row r="312" s="4" customFormat="1" ht="15.75">
      <c r="A312" s="17"/>
    </row>
    <row r="313" s="4" customFormat="1" ht="15.75">
      <c r="A313" s="17"/>
    </row>
    <row r="314" s="4" customFormat="1" ht="15.75">
      <c r="A314" s="17"/>
    </row>
    <row r="315" s="4" customFormat="1" ht="15.75">
      <c r="A315" s="17"/>
    </row>
    <row r="316" s="4" customFormat="1" ht="15.75">
      <c r="A316" s="17"/>
    </row>
    <row r="317" s="4" customFormat="1" ht="15.75">
      <c r="A317" s="17"/>
    </row>
    <row r="318" s="4" customFormat="1" ht="15.75">
      <c r="A318" s="17"/>
    </row>
    <row r="319" s="4" customFormat="1" ht="15.75">
      <c r="A319" s="17"/>
    </row>
    <row r="320" s="4" customFormat="1" ht="15.75">
      <c r="A320" s="17"/>
    </row>
    <row r="321" s="4" customFormat="1" ht="15.75">
      <c r="A321" s="17"/>
    </row>
    <row r="322" s="4" customFormat="1" ht="15.75">
      <c r="A322" s="17"/>
    </row>
    <row r="323" s="4" customFormat="1" ht="15.75">
      <c r="A323" s="17"/>
    </row>
    <row r="324" s="4" customFormat="1" ht="15.75">
      <c r="A324" s="17"/>
    </row>
    <row r="325" s="4" customFormat="1" ht="15.75">
      <c r="A325" s="17"/>
    </row>
    <row r="326" s="4" customFormat="1" ht="15.75">
      <c r="A326" s="17"/>
    </row>
    <row r="327" s="4" customFormat="1" ht="15.75">
      <c r="A327" s="17"/>
    </row>
    <row r="328" s="4" customFormat="1" ht="15.75">
      <c r="A328" s="17"/>
    </row>
    <row r="329" s="4" customFormat="1" ht="15.75">
      <c r="A329" s="17"/>
    </row>
    <row r="330" s="4" customFormat="1" ht="15.75">
      <c r="A330" s="17"/>
    </row>
    <row r="331" s="4" customFormat="1" ht="15.75">
      <c r="A331" s="17"/>
    </row>
    <row r="332" s="4" customFormat="1" ht="15.75">
      <c r="A332" s="17"/>
    </row>
    <row r="333" s="4" customFormat="1" ht="15.75">
      <c r="A333" s="17"/>
    </row>
    <row r="334" s="4" customFormat="1" ht="15.75">
      <c r="A334" s="17"/>
    </row>
    <row r="335" s="4" customFormat="1" ht="15.75">
      <c r="A335" s="17"/>
    </row>
    <row r="336" s="4" customFormat="1" ht="15.75">
      <c r="A336" s="17"/>
    </row>
    <row r="337" s="4" customFormat="1" ht="15.75">
      <c r="A337" s="17"/>
    </row>
    <row r="338" s="4" customFormat="1" ht="15.75">
      <c r="A338" s="17"/>
    </row>
    <row r="339" s="4" customFormat="1" ht="15.75">
      <c r="A339" s="17"/>
    </row>
    <row r="340" s="4" customFormat="1" ht="15.75">
      <c r="A340" s="17"/>
    </row>
    <row r="341" s="4" customFormat="1" ht="15.75">
      <c r="A341" s="17"/>
    </row>
    <row r="342" s="4" customFormat="1" ht="15.75">
      <c r="A342" s="17"/>
    </row>
    <row r="343" s="4" customFormat="1" ht="15.75">
      <c r="A343" s="17"/>
    </row>
    <row r="344" s="4" customFormat="1" ht="15.75">
      <c r="A344" s="17"/>
    </row>
    <row r="345" s="4" customFormat="1" ht="15.75">
      <c r="A345" s="17"/>
    </row>
    <row r="346" s="4" customFormat="1" ht="15.75">
      <c r="A346" s="17"/>
    </row>
    <row r="347" s="4" customFormat="1" ht="15.75">
      <c r="A347" s="17"/>
    </row>
    <row r="348" s="4" customFormat="1" ht="15.75">
      <c r="A348" s="17"/>
    </row>
    <row r="349" s="4" customFormat="1" ht="15.75">
      <c r="A349" s="17"/>
    </row>
    <row r="350" s="4" customFormat="1" ht="15.75">
      <c r="A350" s="17"/>
    </row>
    <row r="351" s="4" customFormat="1" ht="15.75">
      <c r="A351" s="17"/>
    </row>
    <row r="352" s="4" customFormat="1" ht="15.75">
      <c r="A352" s="17"/>
    </row>
    <row r="353" s="4" customFormat="1" ht="15.75">
      <c r="A353" s="17"/>
    </row>
    <row r="354" s="4" customFormat="1" ht="15.75">
      <c r="A354" s="17"/>
    </row>
    <row r="355" s="4" customFormat="1" ht="15.75">
      <c r="A355" s="17"/>
    </row>
    <row r="356" s="4" customFormat="1" ht="15.75">
      <c r="A356" s="17"/>
    </row>
    <row r="357" s="4" customFormat="1" ht="15.75">
      <c r="A357" s="17"/>
    </row>
    <row r="358" s="4" customFormat="1" ht="15.75">
      <c r="A358" s="17"/>
    </row>
    <row r="359" s="4" customFormat="1" ht="15.75">
      <c r="A359" s="17"/>
    </row>
    <row r="360" s="4" customFormat="1" ht="15.75">
      <c r="A360" s="17"/>
    </row>
    <row r="361" s="4" customFormat="1" ht="15.75">
      <c r="A361" s="17"/>
    </row>
    <row r="362" s="4" customFormat="1" ht="15.75">
      <c r="A362" s="17"/>
    </row>
    <row r="363" s="4" customFormat="1" ht="15.75">
      <c r="A363" s="17"/>
    </row>
    <row r="364" s="4" customFormat="1" ht="15.75">
      <c r="A364" s="17"/>
    </row>
    <row r="365" s="4" customFormat="1" ht="15.75">
      <c r="A365" s="17"/>
    </row>
    <row r="366" s="4" customFormat="1" ht="15.75">
      <c r="A366" s="17"/>
    </row>
    <row r="367" s="4" customFormat="1" ht="15.75">
      <c r="A367" s="17"/>
    </row>
    <row r="368" s="4" customFormat="1" ht="15.75">
      <c r="A368" s="17"/>
    </row>
    <row r="369" s="4" customFormat="1" ht="15.75">
      <c r="A369" s="17"/>
    </row>
    <row r="370" s="4" customFormat="1" ht="15.75">
      <c r="A370" s="17"/>
    </row>
    <row r="371" s="4" customFormat="1" ht="15.75">
      <c r="A371" s="17"/>
    </row>
    <row r="372" s="4" customFormat="1" ht="15.75">
      <c r="A372" s="17"/>
    </row>
    <row r="373" s="4" customFormat="1" ht="15.75">
      <c r="A373" s="17"/>
    </row>
    <row r="374" s="4" customFormat="1" ht="15.75">
      <c r="A374" s="17"/>
    </row>
    <row r="375" s="4" customFormat="1" ht="15.75">
      <c r="A375" s="17"/>
    </row>
    <row r="376" s="4" customFormat="1" ht="15.75">
      <c r="A376" s="17"/>
    </row>
    <row r="377" s="4" customFormat="1" ht="15.75">
      <c r="A377" s="17"/>
    </row>
    <row r="378" s="4" customFormat="1" ht="15.75">
      <c r="A378" s="17"/>
    </row>
    <row r="379" s="4" customFormat="1" ht="15.75">
      <c r="A379" s="17"/>
    </row>
    <row r="380" s="4" customFormat="1" ht="15.75">
      <c r="A380" s="17"/>
    </row>
    <row r="381" s="4" customFormat="1" ht="15.75">
      <c r="A381" s="17"/>
    </row>
    <row r="382" s="4" customFormat="1" ht="15.75">
      <c r="A382" s="17"/>
    </row>
    <row r="383" s="4" customFormat="1" ht="15.75">
      <c r="A383" s="17"/>
    </row>
    <row r="384" s="4" customFormat="1" ht="15.75">
      <c r="A384" s="17"/>
    </row>
    <row r="385" s="4" customFormat="1" ht="15.75">
      <c r="A385" s="17"/>
    </row>
    <row r="386" s="4" customFormat="1" ht="15.75">
      <c r="A386" s="17"/>
    </row>
    <row r="387" s="4" customFormat="1" ht="15.75">
      <c r="A387" s="17"/>
    </row>
    <row r="388" s="4" customFormat="1" ht="15.75">
      <c r="A388" s="17"/>
    </row>
    <row r="389" s="4" customFormat="1" ht="15.75">
      <c r="A389" s="17"/>
    </row>
    <row r="390" s="4" customFormat="1" ht="15.75">
      <c r="A390" s="17"/>
    </row>
    <row r="391" s="4" customFormat="1" ht="15.75">
      <c r="A391" s="17"/>
    </row>
    <row r="392" s="4" customFormat="1" ht="15.75">
      <c r="A392" s="17"/>
    </row>
    <row r="393" s="4" customFormat="1" ht="15.75">
      <c r="A393" s="17"/>
    </row>
    <row r="394" s="4" customFormat="1" ht="15.75">
      <c r="A394" s="17"/>
    </row>
    <row r="395" s="4" customFormat="1" ht="15.75">
      <c r="A395" s="17"/>
    </row>
    <row r="396" s="4" customFormat="1" ht="15.75">
      <c r="A396" s="17"/>
    </row>
    <row r="397" s="4" customFormat="1" ht="15.75">
      <c r="A397" s="17"/>
    </row>
    <row r="398" s="4" customFormat="1" ht="15.75">
      <c r="A398" s="17"/>
    </row>
    <row r="399" s="4" customFormat="1" ht="15.75">
      <c r="A399" s="17"/>
    </row>
    <row r="400" s="4" customFormat="1" ht="15.75">
      <c r="A400" s="17"/>
    </row>
    <row r="401" s="4" customFormat="1" ht="15.75">
      <c r="A401" s="17"/>
    </row>
    <row r="402" s="4" customFormat="1" ht="15.75">
      <c r="A402" s="17"/>
    </row>
    <row r="403" s="4" customFormat="1" ht="15.75">
      <c r="A403" s="17"/>
    </row>
    <row r="404" s="4" customFormat="1" ht="15.75">
      <c r="A404" s="17"/>
    </row>
    <row r="405" s="4" customFormat="1" ht="15.75">
      <c r="A405" s="17"/>
    </row>
    <row r="406" s="4" customFormat="1" ht="15.75">
      <c r="A406" s="17"/>
    </row>
    <row r="407" s="4" customFormat="1" ht="15.75">
      <c r="A407" s="17"/>
    </row>
    <row r="408" s="4" customFormat="1" ht="15.75">
      <c r="A408" s="17"/>
    </row>
    <row r="409" s="4" customFormat="1" ht="15.75">
      <c r="A409" s="17"/>
    </row>
    <row r="410" s="4" customFormat="1" ht="15.75">
      <c r="A410" s="17"/>
    </row>
    <row r="411" s="4" customFormat="1" ht="15.75">
      <c r="A411" s="17"/>
    </row>
    <row r="412" s="4" customFormat="1" ht="15.75">
      <c r="A412" s="17"/>
    </row>
    <row r="413" s="4" customFormat="1" ht="15.75">
      <c r="A413" s="17"/>
    </row>
    <row r="414" s="4" customFormat="1" ht="15.75">
      <c r="A414" s="17"/>
    </row>
    <row r="415" s="4" customFormat="1" ht="15.75">
      <c r="A415" s="17"/>
    </row>
    <row r="416" s="4" customFormat="1" ht="15.75">
      <c r="A416" s="17"/>
    </row>
    <row r="417" s="4" customFormat="1" ht="15.75">
      <c r="A417" s="17"/>
    </row>
    <row r="418" s="4" customFormat="1" ht="15.75">
      <c r="A418" s="17"/>
    </row>
    <row r="419" s="4" customFormat="1" ht="15.75">
      <c r="A419" s="17"/>
    </row>
    <row r="420" s="4" customFormat="1" ht="15.75">
      <c r="A420" s="17"/>
    </row>
    <row r="421" s="4" customFormat="1" ht="15.75">
      <c r="A421" s="17"/>
    </row>
    <row r="422" s="4" customFormat="1" ht="15.75">
      <c r="A422" s="17"/>
    </row>
    <row r="423" s="4" customFormat="1" ht="15.75">
      <c r="A423" s="17"/>
    </row>
    <row r="424" s="4" customFormat="1" ht="15.75">
      <c r="A424" s="17"/>
    </row>
    <row r="425" s="4" customFormat="1" ht="15.75">
      <c r="A425" s="17"/>
    </row>
    <row r="426" s="4" customFormat="1" ht="15.75">
      <c r="A426" s="17"/>
    </row>
    <row r="427" s="4" customFormat="1" ht="15.75">
      <c r="A427" s="17"/>
    </row>
    <row r="428" s="4" customFormat="1" ht="15.75">
      <c r="A428" s="17"/>
    </row>
    <row r="429" s="4" customFormat="1" ht="15.75">
      <c r="A429" s="17"/>
    </row>
    <row r="430" s="4" customFormat="1" ht="15.75">
      <c r="A430" s="17"/>
    </row>
    <row r="431" s="4" customFormat="1" ht="15.75">
      <c r="A431" s="17"/>
    </row>
    <row r="432" s="4" customFormat="1" ht="15.75">
      <c r="A432" s="17"/>
    </row>
    <row r="433" s="4" customFormat="1" ht="15.75">
      <c r="A433" s="17"/>
    </row>
    <row r="434" s="4" customFormat="1" ht="15.75">
      <c r="A434" s="17"/>
    </row>
    <row r="435" s="4" customFormat="1" ht="15.75">
      <c r="A435" s="17"/>
    </row>
    <row r="436" s="4" customFormat="1" ht="15.75">
      <c r="A436" s="17"/>
    </row>
    <row r="437" s="4" customFormat="1" ht="15.75">
      <c r="A437" s="17"/>
    </row>
    <row r="438" s="4" customFormat="1" ht="15.75">
      <c r="A438" s="17"/>
    </row>
    <row r="439" s="4" customFormat="1" ht="15.75">
      <c r="A439" s="17"/>
    </row>
    <row r="440" s="4" customFormat="1" ht="15.75">
      <c r="A440" s="17"/>
    </row>
    <row r="441" s="4" customFormat="1" ht="15.75">
      <c r="A441" s="17"/>
    </row>
    <row r="442" s="4" customFormat="1" ht="15.75">
      <c r="A442" s="17"/>
    </row>
    <row r="443" s="4" customFormat="1" ht="15.75">
      <c r="A443" s="17"/>
    </row>
    <row r="444" s="4" customFormat="1" ht="15.75">
      <c r="A444" s="17"/>
    </row>
    <row r="445" s="4" customFormat="1" ht="15.75">
      <c r="A445" s="17"/>
    </row>
    <row r="446" s="4" customFormat="1" ht="15.75">
      <c r="A446" s="17"/>
    </row>
    <row r="447" s="4" customFormat="1" ht="15.75">
      <c r="A447" s="17"/>
    </row>
    <row r="448" s="4" customFormat="1" ht="15.75">
      <c r="A448" s="17"/>
    </row>
    <row r="449" s="4" customFormat="1" ht="15.75">
      <c r="A449" s="17"/>
    </row>
    <row r="450" s="4" customFormat="1" ht="15.75">
      <c r="A450" s="17"/>
    </row>
    <row r="451" s="4" customFormat="1" ht="15.75">
      <c r="A451" s="17"/>
    </row>
    <row r="452" s="4" customFormat="1" ht="15.75">
      <c r="A452" s="17"/>
    </row>
    <row r="453" s="4" customFormat="1" ht="15.75">
      <c r="A453" s="17"/>
    </row>
    <row r="454" s="4" customFormat="1" ht="15.75">
      <c r="A454" s="17"/>
    </row>
    <row r="455" s="4" customFormat="1" ht="15.75">
      <c r="A455" s="17"/>
    </row>
    <row r="456" s="4" customFormat="1" ht="15.75">
      <c r="A456" s="17"/>
    </row>
    <row r="457" s="4" customFormat="1" ht="15.75">
      <c r="A457" s="17"/>
    </row>
    <row r="458" s="4" customFormat="1" ht="15.75">
      <c r="A458" s="17"/>
    </row>
    <row r="459" s="4" customFormat="1" ht="15.75">
      <c r="A459" s="17"/>
    </row>
    <row r="460" s="4" customFormat="1" ht="15.75">
      <c r="A460" s="17"/>
    </row>
    <row r="461" s="4" customFormat="1" ht="15.75">
      <c r="A461" s="17"/>
    </row>
    <row r="462" s="4" customFormat="1" ht="15.75">
      <c r="A462" s="17"/>
    </row>
    <row r="463" s="4" customFormat="1" ht="15.75">
      <c r="A463" s="17"/>
    </row>
    <row r="464" s="4" customFormat="1" ht="15.75">
      <c r="A464" s="17"/>
    </row>
    <row r="465" s="4" customFormat="1" ht="15.75">
      <c r="A465" s="17"/>
    </row>
    <row r="466" s="4" customFormat="1" ht="15.75">
      <c r="A466" s="17"/>
    </row>
    <row r="467" s="4" customFormat="1" ht="15.75">
      <c r="A467" s="17"/>
    </row>
    <row r="468" s="4" customFormat="1" ht="15.75">
      <c r="A468" s="17"/>
    </row>
    <row r="469" s="4" customFormat="1" ht="15.75">
      <c r="A469" s="17"/>
    </row>
    <row r="470" s="4" customFormat="1" ht="15.75">
      <c r="A470" s="17"/>
    </row>
    <row r="471" s="4" customFormat="1" ht="15.75">
      <c r="A471" s="17"/>
    </row>
    <row r="472" s="4" customFormat="1" ht="15.75">
      <c r="A472" s="17"/>
    </row>
    <row r="473" s="4" customFormat="1" ht="15.75">
      <c r="A473" s="17"/>
    </row>
    <row r="474" s="4" customFormat="1" ht="15.75">
      <c r="A474" s="17"/>
    </row>
    <row r="475" s="4" customFormat="1" ht="15.75">
      <c r="A475" s="17"/>
    </row>
    <row r="476" s="4" customFormat="1" ht="15.75">
      <c r="A476" s="17"/>
    </row>
    <row r="477" s="4" customFormat="1" ht="15.75">
      <c r="A477" s="17"/>
    </row>
    <row r="478" s="4" customFormat="1" ht="15.75">
      <c r="A478" s="17"/>
    </row>
    <row r="479" s="4" customFormat="1" ht="15.75">
      <c r="A479" s="17"/>
    </row>
    <row r="480" s="4" customFormat="1" ht="15.75">
      <c r="A480" s="17"/>
    </row>
    <row r="481" s="4" customFormat="1" ht="15.75">
      <c r="A481" s="17"/>
    </row>
    <row r="482" s="4" customFormat="1" ht="15.75">
      <c r="A482" s="17"/>
    </row>
    <row r="483" s="4" customFormat="1" ht="15.75">
      <c r="A483" s="17"/>
    </row>
    <row r="484" s="4" customFormat="1" ht="15.75">
      <c r="A484" s="17"/>
    </row>
    <row r="485" s="4" customFormat="1" ht="15.75">
      <c r="A485" s="17"/>
    </row>
    <row r="486" s="4" customFormat="1" ht="15.75">
      <c r="A486" s="17"/>
    </row>
    <row r="487" s="4" customFormat="1" ht="15.75">
      <c r="A487" s="17"/>
    </row>
    <row r="488" s="4" customFormat="1" ht="15.75">
      <c r="A488" s="17"/>
    </row>
    <row r="489" s="4" customFormat="1" ht="15.75">
      <c r="A489" s="17"/>
    </row>
    <row r="490" s="4" customFormat="1" ht="15.75">
      <c r="A490" s="17"/>
    </row>
    <row r="491" s="4" customFormat="1" ht="15.75">
      <c r="A491" s="17"/>
    </row>
    <row r="492" s="4" customFormat="1" ht="15.75">
      <c r="A492" s="17"/>
    </row>
    <row r="493" s="4" customFormat="1" ht="15.75">
      <c r="A493" s="17"/>
    </row>
    <row r="494" s="4" customFormat="1" ht="15.75">
      <c r="A494" s="17"/>
    </row>
    <row r="495" s="4" customFormat="1" ht="15.75">
      <c r="A495" s="17"/>
    </row>
    <row r="496" s="4" customFormat="1" ht="15.75">
      <c r="A496" s="17"/>
    </row>
    <row r="497" s="4" customFormat="1" ht="15.75">
      <c r="A497" s="17"/>
    </row>
    <row r="498" s="4" customFormat="1" ht="15.75">
      <c r="A498" s="17"/>
    </row>
    <row r="499" s="4" customFormat="1" ht="15.75">
      <c r="A499" s="17"/>
    </row>
    <row r="500" s="4" customFormat="1" ht="15.75">
      <c r="A500" s="17"/>
    </row>
    <row r="501" s="4" customFormat="1" ht="15.75">
      <c r="A501" s="17"/>
    </row>
    <row r="502" s="4" customFormat="1" ht="15.75">
      <c r="A502" s="17"/>
    </row>
    <row r="503" s="4" customFormat="1" ht="15.75">
      <c r="A503" s="17"/>
    </row>
    <row r="504" s="4" customFormat="1" ht="15.75">
      <c r="A504" s="17"/>
    </row>
    <row r="505" s="4" customFormat="1" ht="15.75">
      <c r="A505" s="17"/>
    </row>
    <row r="506" s="4" customFormat="1" ht="15.75">
      <c r="A506" s="17"/>
    </row>
    <row r="507" s="4" customFormat="1" ht="15.75">
      <c r="A507" s="17"/>
    </row>
    <row r="508" s="4" customFormat="1" ht="15.75">
      <c r="A508" s="17"/>
    </row>
    <row r="509" s="4" customFormat="1" ht="15.75">
      <c r="A509" s="17"/>
    </row>
    <row r="510" s="4" customFormat="1" ht="15.75">
      <c r="A510" s="17"/>
    </row>
    <row r="511" s="4" customFormat="1" ht="15.75">
      <c r="A511" s="17"/>
    </row>
    <row r="512" s="4" customFormat="1" ht="15.75">
      <c r="A512" s="17"/>
    </row>
    <row r="513" s="4" customFormat="1" ht="15.75">
      <c r="A513" s="17"/>
    </row>
    <row r="514" s="4" customFormat="1" ht="15.75">
      <c r="A514" s="17"/>
    </row>
    <row r="515" ht="15.75">
      <c r="D515" s="4"/>
    </row>
    <row r="516" ht="15.75">
      <c r="D516" s="4"/>
    </row>
  </sheetData>
  <mergeCells count="3">
    <mergeCell ref="C40:H40"/>
    <mergeCell ref="C42:H42"/>
    <mergeCell ref="C43:H43"/>
  </mergeCells>
  <printOptions/>
  <pageMargins left="0.75" right="0.32" top="0.58" bottom="0.49" header="0.65" footer="0.47"/>
  <pageSetup fitToHeight="1" fitToWidth="1" horizontalDpi="300" verticalDpi="300" orientation="portrait" scale="27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AN669"/>
  <sheetViews>
    <sheetView workbookViewId="0" topLeftCell="A174">
      <selection activeCell="C212" sqref="C212"/>
    </sheetView>
  </sheetViews>
  <sheetFormatPr defaultColWidth="8.88671875" defaultRowHeight="15.75"/>
  <cols>
    <col min="1" max="1" width="3.77734375" style="18" customWidth="1"/>
    <col min="2" max="2" width="0.3359375" style="10" hidden="1" customWidth="1"/>
    <col min="3" max="3" width="43.88671875" style="10" customWidth="1"/>
    <col min="4" max="4" width="0.44140625" style="10" customWidth="1"/>
    <col min="5" max="5" width="10.21484375" style="10" customWidth="1"/>
    <col min="6" max="6" width="0.44140625" style="10" customWidth="1"/>
    <col min="7" max="7" width="10.21484375" style="10" customWidth="1"/>
    <col min="8" max="8" width="0.44140625" style="10" customWidth="1"/>
    <col min="9" max="9" width="10.21484375" style="10" customWidth="1"/>
    <col min="10" max="10" width="0.44140625" style="10" customWidth="1"/>
    <col min="11" max="11" width="10.21484375" style="10" customWidth="1"/>
    <col min="12" max="12" width="0.44140625" style="10" customWidth="1"/>
    <col min="13" max="13" width="10.21484375" style="10" customWidth="1"/>
    <col min="14" max="14" width="0.9921875" style="10" customWidth="1"/>
    <col min="15" max="15" width="7.88671875" style="10" customWidth="1"/>
    <col min="16" max="16" width="0.44140625" style="10" customWidth="1"/>
    <col min="17" max="17" width="11.21484375" style="10" customWidth="1"/>
    <col min="18" max="18" width="3.99609375" style="10" customWidth="1"/>
    <col min="19" max="19" width="1.88671875" style="10" customWidth="1"/>
    <col min="20" max="20" width="8.77734375" style="10" customWidth="1"/>
    <col min="21" max="21" width="0.10546875" style="10" customWidth="1"/>
    <col min="22" max="22" width="8.77734375" style="10" customWidth="1"/>
    <col min="23" max="23" width="0.10546875" style="10" customWidth="1"/>
    <col min="24" max="24" width="8.77734375" style="10" customWidth="1"/>
    <col min="25" max="25" width="1.99609375" style="10" customWidth="1"/>
    <col min="26" max="26" width="8.77734375" style="10" customWidth="1"/>
    <col min="27" max="27" width="0.10546875" style="10" customWidth="1"/>
    <col min="28" max="28" width="8.77734375" style="10" customWidth="1"/>
    <col min="29" max="29" width="0.10546875" style="10" customWidth="1"/>
    <col min="30" max="30" width="8.77734375" style="10" customWidth="1"/>
    <col min="31" max="31" width="1.99609375" style="10" customWidth="1"/>
    <col min="32" max="32" width="9.10546875" style="10" customWidth="1"/>
    <col min="33" max="33" width="0.10546875" style="10" customWidth="1"/>
    <col min="34" max="34" width="8.77734375" style="10" customWidth="1"/>
    <col min="35" max="35" width="0.10546875" style="10" customWidth="1"/>
    <col min="36" max="36" width="9.5546875" style="10" customWidth="1"/>
    <col min="37" max="16384" width="8.77734375" style="10" customWidth="1"/>
  </cols>
  <sheetData>
    <row r="2" spans="1:17" ht="27.75" customHeight="1">
      <c r="A2" s="15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3"/>
    </row>
    <row r="3" spans="1:17" ht="27.75" customHeight="1">
      <c r="A3" s="15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3"/>
    </row>
    <row r="4" spans="1:19" ht="17.25" customHeight="1">
      <c r="A4" s="16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343" t="e">
        <f>+MainSummary!#REF!</f>
        <v>#REF!</v>
      </c>
      <c r="N4" s="1"/>
      <c r="P4" s="1"/>
      <c r="R4" s="4"/>
      <c r="S4" s="4"/>
    </row>
    <row r="5" spans="1:19" ht="17.25" customHeight="1">
      <c r="A5" s="17" t="s">
        <v>3</v>
      </c>
      <c r="B5" s="4"/>
      <c r="C5" s="4"/>
      <c r="D5" s="4"/>
      <c r="E5" s="4"/>
      <c r="F5" s="4"/>
      <c r="G5" s="4"/>
      <c r="H5" s="4"/>
      <c r="I5" s="4"/>
      <c r="J5" s="4"/>
      <c r="K5" s="1"/>
      <c r="L5" s="4"/>
      <c r="N5" s="4"/>
      <c r="O5" s="4"/>
      <c r="P5" s="4"/>
      <c r="Q5" s="4"/>
      <c r="R5" s="4"/>
      <c r="S5" s="4"/>
    </row>
    <row r="6" spans="1:19" ht="17.25" customHeight="1">
      <c r="A6" s="17" t="s">
        <v>9</v>
      </c>
      <c r="B6" s="4"/>
      <c r="C6" s="4"/>
      <c r="D6" s="4"/>
      <c r="E6" s="4"/>
      <c r="F6" s="4"/>
      <c r="G6" s="4"/>
      <c r="H6" s="4"/>
      <c r="I6" s="4"/>
      <c r="J6" s="4"/>
      <c r="K6" s="1"/>
      <c r="L6" s="4"/>
      <c r="N6" s="4"/>
      <c r="O6" s="4"/>
      <c r="P6" s="4"/>
      <c r="Q6" s="4"/>
      <c r="R6" s="4"/>
      <c r="S6" s="4"/>
    </row>
    <row r="7" spans="1:19" ht="17.25" customHeight="1">
      <c r="A7" s="17" t="s">
        <v>230</v>
      </c>
      <c r="B7" s="4"/>
      <c r="J7" s="4"/>
      <c r="K7" s="1"/>
      <c r="L7" s="4"/>
      <c r="N7" s="4"/>
      <c r="O7" s="4"/>
      <c r="P7" s="4"/>
      <c r="Q7" s="4"/>
      <c r="R7" s="4"/>
      <c r="S7" s="4"/>
    </row>
    <row r="8" spans="1:19" ht="17.25" customHeight="1">
      <c r="A8" s="17" t="s">
        <v>10</v>
      </c>
      <c r="B8" s="4"/>
      <c r="J8" s="4"/>
      <c r="K8" s="1"/>
      <c r="L8" s="4"/>
      <c r="N8" s="4"/>
      <c r="O8" s="4"/>
      <c r="P8" s="4"/>
      <c r="Q8" s="4"/>
      <c r="R8" s="4"/>
      <c r="S8" s="4"/>
    </row>
    <row r="9" spans="1:19" ht="17.25" customHeight="1">
      <c r="A9" s="17" t="s">
        <v>11</v>
      </c>
      <c r="B9" s="4"/>
      <c r="C9" s="4"/>
      <c r="D9" s="4"/>
      <c r="E9" s="4"/>
      <c r="F9" s="4"/>
      <c r="G9" s="4"/>
      <c r="H9" s="4"/>
      <c r="I9" s="4"/>
      <c r="J9" s="4"/>
      <c r="K9" s="1"/>
      <c r="L9" s="4"/>
      <c r="N9" s="4"/>
      <c r="O9" s="4"/>
      <c r="P9" s="4"/>
      <c r="Q9" s="4"/>
      <c r="R9" s="4"/>
      <c r="S9" s="4"/>
    </row>
    <row r="10" spans="1:19" ht="3.75" customHeight="1">
      <c r="A10" s="17"/>
      <c r="B10" s="4"/>
      <c r="C10" s="4"/>
      <c r="D10" s="4"/>
      <c r="E10" s="4"/>
      <c r="F10" s="4"/>
      <c r="G10" s="4"/>
      <c r="H10" s="4"/>
      <c r="I10" s="4"/>
      <c r="J10" s="4"/>
      <c r="K10" s="1"/>
      <c r="L10" s="4"/>
      <c r="N10" s="4"/>
      <c r="O10" s="4"/>
      <c r="P10" s="4"/>
      <c r="Q10" s="4"/>
      <c r="R10" s="4"/>
      <c r="S10" s="4"/>
    </row>
    <row r="11" spans="1:19" ht="17.25" customHeight="1">
      <c r="A11" s="17" t="s">
        <v>4</v>
      </c>
      <c r="B11" s="4"/>
      <c r="C11" s="4"/>
      <c r="D11" s="4"/>
      <c r="E11" s="4"/>
      <c r="F11" s="4"/>
      <c r="G11" s="4"/>
      <c r="H11" s="4"/>
      <c r="I11" s="4"/>
      <c r="J11" s="4"/>
      <c r="K11" s="1"/>
      <c r="L11" s="4"/>
      <c r="N11" s="4"/>
      <c r="O11" s="4"/>
      <c r="P11" s="4"/>
      <c r="Q11" s="4"/>
      <c r="R11" s="4"/>
      <c r="S11" s="4"/>
    </row>
    <row r="12" spans="1:19" ht="3.75" customHeight="1">
      <c r="A12" s="17"/>
      <c r="B12" s="4"/>
      <c r="C12" s="4"/>
      <c r="D12" s="4"/>
      <c r="E12" s="4"/>
      <c r="F12" s="4"/>
      <c r="G12" s="4"/>
      <c r="H12" s="4"/>
      <c r="I12" s="4"/>
      <c r="J12" s="4"/>
      <c r="K12" s="1"/>
      <c r="L12" s="4"/>
      <c r="N12" s="4"/>
      <c r="O12" s="4"/>
      <c r="P12" s="4"/>
      <c r="Q12" s="4"/>
      <c r="R12" s="4"/>
      <c r="S12" s="4"/>
    </row>
    <row r="13" spans="1:19" ht="17.25" customHeight="1">
      <c r="A13" s="929" t="str">
        <f>+MainSummary!A5</f>
        <v>Compliance with the requirements of Clause 41 of the Listing Agreement -</v>
      </c>
      <c r="B13" s="929"/>
      <c r="C13" s="929"/>
      <c r="D13" s="929"/>
      <c r="E13" s="929"/>
      <c r="F13" s="929"/>
      <c r="G13" s="929"/>
      <c r="H13" s="929"/>
      <c r="I13" s="929"/>
      <c r="J13" s="929"/>
      <c r="K13" s="929"/>
      <c r="L13" s="929"/>
      <c r="M13" s="929"/>
      <c r="N13" s="351"/>
      <c r="O13" s="351"/>
      <c r="P13" s="7"/>
      <c r="Q13" s="7"/>
      <c r="R13" s="7"/>
      <c r="S13" s="7"/>
    </row>
    <row r="14" spans="1:19" ht="17.25" customHeight="1">
      <c r="A14" s="930" t="str">
        <f>+MainSummary!A6</f>
        <v>Financial Results for the year ended 31st March, 2005</v>
      </c>
      <c r="B14" s="930"/>
      <c r="C14" s="930"/>
      <c r="D14" s="930"/>
      <c r="E14" s="930"/>
      <c r="F14" s="930"/>
      <c r="G14" s="930"/>
      <c r="H14" s="930"/>
      <c r="I14" s="930"/>
      <c r="J14" s="930"/>
      <c r="K14" s="930"/>
      <c r="L14" s="930"/>
      <c r="M14" s="930"/>
      <c r="N14" s="352"/>
      <c r="O14" s="352"/>
      <c r="P14" s="96"/>
      <c r="Q14" s="96"/>
      <c r="R14" s="96"/>
      <c r="S14" s="96"/>
    </row>
    <row r="15" spans="1:19" ht="3.75" customHeight="1">
      <c r="A15" s="17"/>
      <c r="B15" s="4"/>
      <c r="C15" s="4"/>
      <c r="D15" s="4"/>
      <c r="E15" s="4"/>
      <c r="F15" s="4"/>
      <c r="G15" s="4"/>
      <c r="H15" s="4"/>
      <c r="I15" s="4"/>
      <c r="J15" s="4"/>
      <c r="K15" s="1"/>
      <c r="L15" s="4"/>
      <c r="N15" s="4"/>
      <c r="O15" s="4"/>
      <c r="P15" s="4"/>
      <c r="Q15" s="4"/>
      <c r="R15" s="4"/>
      <c r="S15" s="4"/>
    </row>
    <row r="16" spans="1:19" ht="17.25" customHeight="1">
      <c r="A16" s="17" t="str">
        <f>+MainSummary!A8</f>
        <v>We set out the audited financial results for the Year ended 31st March, 2005. </v>
      </c>
      <c r="B16" s="4"/>
      <c r="C16" s="4"/>
      <c r="D16" s="4"/>
      <c r="E16" s="4"/>
      <c r="F16" s="4"/>
      <c r="G16" s="4"/>
      <c r="H16" s="4"/>
      <c r="I16" s="4"/>
      <c r="J16" s="4"/>
      <c r="K16" s="1"/>
      <c r="L16" s="4"/>
      <c r="M16" s="18"/>
      <c r="N16" s="17"/>
      <c r="O16" s="18"/>
      <c r="P16" s="18"/>
      <c r="Q16" s="18"/>
      <c r="R16" s="18"/>
      <c r="S16" s="18"/>
    </row>
    <row r="17" spans="1:19" ht="15.75" customHeight="1" thickBot="1">
      <c r="A17" s="17"/>
      <c r="B17" s="4"/>
      <c r="C17" s="4"/>
      <c r="D17" s="4"/>
      <c r="E17" s="4"/>
      <c r="F17" s="4"/>
      <c r="G17" s="4"/>
      <c r="H17" s="4"/>
      <c r="I17" s="4"/>
      <c r="J17" s="4"/>
      <c r="M17" s="22" t="s">
        <v>81</v>
      </c>
      <c r="O17" s="287"/>
      <c r="P17" s="14"/>
      <c r="Q17" s="32"/>
      <c r="R17" s="14"/>
      <c r="S17" s="14"/>
    </row>
    <row r="18" spans="1:36" ht="15.75" customHeight="1">
      <c r="A18" s="55"/>
      <c r="B18" s="56"/>
      <c r="C18" s="56"/>
      <c r="D18" s="56"/>
      <c r="E18" s="63">
        <v>-1</v>
      </c>
      <c r="F18" s="56"/>
      <c r="G18" s="104">
        <v>-2</v>
      </c>
      <c r="H18" s="56"/>
      <c r="I18" s="63">
        <v>-3</v>
      </c>
      <c r="J18" s="57"/>
      <c r="K18" s="104">
        <v>-4</v>
      </c>
      <c r="L18" s="57"/>
      <c r="M18" s="104">
        <v>-5</v>
      </c>
      <c r="N18" s="95"/>
      <c r="O18" s="95"/>
      <c r="P18" s="95"/>
      <c r="Q18" s="458"/>
      <c r="S18" s="440"/>
      <c r="T18" s="95"/>
      <c r="U18" s="32"/>
      <c r="V18" s="95"/>
      <c r="W18" s="95"/>
      <c r="X18" s="95"/>
      <c r="Y18" s="32"/>
      <c r="Z18" s="95"/>
      <c r="AA18" s="32"/>
      <c r="AB18" s="95"/>
      <c r="AC18" s="32"/>
      <c r="AD18" s="95"/>
      <c r="AE18" s="32"/>
      <c r="AF18" s="95"/>
      <c r="AG18" s="32"/>
      <c r="AH18" s="95"/>
      <c r="AI18" s="32"/>
      <c r="AJ18" s="95"/>
    </row>
    <row r="19" spans="1:36" ht="15.75" customHeight="1">
      <c r="A19" s="58"/>
      <c r="B19" s="14"/>
      <c r="C19" s="14"/>
      <c r="D19" s="14"/>
      <c r="E19" s="272"/>
      <c r="F19" s="14"/>
      <c r="G19" s="273"/>
      <c r="H19" s="14"/>
      <c r="I19" s="272"/>
      <c r="J19" s="95"/>
      <c r="K19" s="273"/>
      <c r="L19" s="95"/>
      <c r="M19" s="273"/>
      <c r="N19" s="95"/>
      <c r="O19" s="95"/>
      <c r="P19" s="95"/>
      <c r="Q19" s="459"/>
      <c r="S19" s="440"/>
      <c r="T19" s="95"/>
      <c r="U19" s="95"/>
      <c r="V19" s="95"/>
      <c r="W19" s="95"/>
      <c r="X19" s="95"/>
      <c r="Y19" s="32"/>
      <c r="Z19" s="95"/>
      <c r="AA19" s="32"/>
      <c r="AB19" s="95"/>
      <c r="AC19" s="95"/>
      <c r="AD19" s="95"/>
      <c r="AE19" s="32"/>
      <c r="AF19" s="95"/>
      <c r="AG19" s="32"/>
      <c r="AH19" s="95"/>
      <c r="AI19" s="95"/>
      <c r="AJ19" s="95"/>
    </row>
    <row r="20" spans="1:36" ht="17.25" customHeight="1" thickBot="1">
      <c r="A20" s="58"/>
      <c r="B20" s="14"/>
      <c r="C20" s="59"/>
      <c r="D20" s="59"/>
      <c r="E20" s="311" t="str">
        <f>+MainSummary!E12</f>
        <v>Nine Months</v>
      </c>
      <c r="F20" s="59"/>
      <c r="G20" s="314" t="str">
        <f>+MainSummary!G12</f>
        <v>Quarter </v>
      </c>
      <c r="H20" s="59"/>
      <c r="I20" s="311" t="str">
        <f>+MainSummary!I12</f>
        <v>Quarter</v>
      </c>
      <c r="J20" s="312"/>
      <c r="K20" s="314" t="str">
        <f>+MainSummary!K12</f>
        <v>Year</v>
      </c>
      <c r="L20" s="313"/>
      <c r="M20" s="314" t="str">
        <f>+MainSummary!M12</f>
        <v>Year</v>
      </c>
      <c r="N20" s="315"/>
      <c r="O20" s="316"/>
      <c r="P20" s="315"/>
      <c r="Q20" s="460" t="s">
        <v>232</v>
      </c>
      <c r="S20" s="440"/>
      <c r="T20" s="316"/>
      <c r="U20" s="32"/>
      <c r="V20" s="316"/>
      <c r="W20" s="316"/>
      <c r="X20" s="316"/>
      <c r="Y20" s="32"/>
      <c r="Z20" s="316"/>
      <c r="AA20" s="32"/>
      <c r="AB20" s="316"/>
      <c r="AC20" s="32"/>
      <c r="AD20" s="316"/>
      <c r="AE20" s="32"/>
      <c r="AF20" s="316"/>
      <c r="AG20" s="32"/>
      <c r="AH20" s="316"/>
      <c r="AI20" s="32"/>
      <c r="AJ20" s="316"/>
    </row>
    <row r="21" spans="1:36" ht="17.25" customHeight="1" thickBot="1">
      <c r="A21" s="58"/>
      <c r="B21" s="14"/>
      <c r="C21" s="14"/>
      <c r="D21" s="14"/>
      <c r="E21" s="311" t="str">
        <f>+MainSummary!E13</f>
        <v>ended</v>
      </c>
      <c r="F21" s="14"/>
      <c r="G21" s="314" t="str">
        <f>+MainSummary!G13</f>
        <v>ended</v>
      </c>
      <c r="H21" s="14"/>
      <c r="I21" s="311" t="str">
        <f>+MainSummary!I13</f>
        <v>ended</v>
      </c>
      <c r="J21" s="315"/>
      <c r="K21" s="314" t="str">
        <f>+MainSummary!K13</f>
        <v>ended</v>
      </c>
      <c r="L21" s="313"/>
      <c r="M21" s="314" t="str">
        <f>+MainSummary!M13</f>
        <v>ended</v>
      </c>
      <c r="N21" s="315"/>
      <c r="O21" s="316"/>
      <c r="P21" s="315"/>
      <c r="Q21" s="460" t="s">
        <v>5</v>
      </c>
      <c r="S21" s="440"/>
      <c r="T21" s="945" t="s">
        <v>234</v>
      </c>
      <c r="U21" s="946"/>
      <c r="V21" s="946"/>
      <c r="W21" s="946"/>
      <c r="X21" s="947"/>
      <c r="Z21" s="945" t="s">
        <v>235</v>
      </c>
      <c r="AA21" s="946"/>
      <c r="AB21" s="946"/>
      <c r="AC21" s="946"/>
      <c r="AD21" s="947"/>
      <c r="AF21" s="945" t="s">
        <v>236</v>
      </c>
      <c r="AG21" s="946"/>
      <c r="AH21" s="946"/>
      <c r="AI21" s="946"/>
      <c r="AJ21" s="947"/>
    </row>
    <row r="22" spans="1:36" ht="17.25" customHeight="1">
      <c r="A22" s="58"/>
      <c r="B22" s="14"/>
      <c r="C22" s="14"/>
      <c r="D22" s="14"/>
      <c r="E22" s="311" t="str">
        <f>+MainSummary!E14</f>
        <v>31.12.2004</v>
      </c>
      <c r="F22" s="14"/>
      <c r="G22" s="314" t="str">
        <f>+MainSummary!G14</f>
        <v>31.03.2005</v>
      </c>
      <c r="H22" s="14"/>
      <c r="I22" s="311" t="str">
        <f>+MainSummary!I14</f>
        <v>31.03.2004</v>
      </c>
      <c r="J22" s="315"/>
      <c r="K22" s="314" t="str">
        <f>+MainSummary!K14</f>
        <v>31.03.2005</v>
      </c>
      <c r="L22" s="313"/>
      <c r="M22" s="314" t="str">
        <f>+MainSummary!M14</f>
        <v>31.03.2004</v>
      </c>
      <c r="N22" s="315"/>
      <c r="O22" s="316"/>
      <c r="P22" s="315"/>
      <c r="Q22" s="460" t="s">
        <v>233</v>
      </c>
      <c r="S22" s="440"/>
      <c r="T22" s="453" t="s">
        <v>164</v>
      </c>
      <c r="U22" s="32"/>
      <c r="V22" s="454" t="s">
        <v>165</v>
      </c>
      <c r="W22" s="95"/>
      <c r="X22" s="445" t="s">
        <v>86</v>
      </c>
      <c r="Z22" s="453" t="s">
        <v>164</v>
      </c>
      <c r="AA22" s="32"/>
      <c r="AB22" s="454" t="s">
        <v>165</v>
      </c>
      <c r="AC22" s="95"/>
      <c r="AD22" s="445" t="s">
        <v>86</v>
      </c>
      <c r="AF22" s="453" t="s">
        <v>164</v>
      </c>
      <c r="AG22" s="32"/>
      <c r="AH22" s="454" t="s">
        <v>165</v>
      </c>
      <c r="AI22" s="95"/>
      <c r="AJ22" s="445" t="s">
        <v>86</v>
      </c>
    </row>
    <row r="23" spans="1:36" ht="17.25" customHeight="1" thickBot="1">
      <c r="A23" s="61"/>
      <c r="B23" s="62"/>
      <c r="C23" s="97" t="s">
        <v>56</v>
      </c>
      <c r="D23" s="97"/>
      <c r="E23" s="311" t="str">
        <f>+MainSummary!E15</f>
        <v>(Unaudited)</v>
      </c>
      <c r="F23" s="97"/>
      <c r="G23" s="314" t="str">
        <f>+MainSummary!G15</f>
        <v>(Audited)</v>
      </c>
      <c r="H23" s="97"/>
      <c r="I23" s="311" t="str">
        <f>+MainSummary!I15</f>
        <v>(Audited)</v>
      </c>
      <c r="J23" s="145"/>
      <c r="K23" s="314" t="str">
        <f>+MainSummary!K15</f>
        <v>(Audited)</v>
      </c>
      <c r="L23" s="318"/>
      <c r="M23" s="314" t="str">
        <f>+MainSummary!M15</f>
        <v>(Audited)</v>
      </c>
      <c r="N23" s="348"/>
      <c r="O23" s="320"/>
      <c r="P23" s="308"/>
      <c r="Q23" s="461" t="s">
        <v>156</v>
      </c>
      <c r="S23" s="440"/>
      <c r="T23" s="455" t="s">
        <v>156</v>
      </c>
      <c r="U23" s="75"/>
      <c r="V23" s="456" t="s">
        <v>156</v>
      </c>
      <c r="W23" s="439"/>
      <c r="X23" s="446" t="s">
        <v>156</v>
      </c>
      <c r="Z23" s="455" t="s">
        <v>156</v>
      </c>
      <c r="AA23" s="75"/>
      <c r="AB23" s="456" t="s">
        <v>156</v>
      </c>
      <c r="AC23" s="75"/>
      <c r="AD23" s="446" t="s">
        <v>156</v>
      </c>
      <c r="AF23" s="455" t="s">
        <v>156</v>
      </c>
      <c r="AG23" s="75"/>
      <c r="AH23" s="456" t="s">
        <v>156</v>
      </c>
      <c r="AI23" s="75"/>
      <c r="AJ23" s="446" t="s">
        <v>156</v>
      </c>
    </row>
    <row r="24" spans="1:36" ht="15.75" customHeight="1">
      <c r="A24" s="55"/>
      <c r="B24" s="56"/>
      <c r="C24" s="98"/>
      <c r="D24" s="98"/>
      <c r="E24" s="398"/>
      <c r="F24" s="98"/>
      <c r="G24" s="542"/>
      <c r="H24" s="98"/>
      <c r="I24" s="321"/>
      <c r="J24" s="322"/>
      <c r="K24" s="345"/>
      <c r="L24" s="323"/>
      <c r="M24" s="321"/>
      <c r="N24" s="308"/>
      <c r="O24" s="324"/>
      <c r="P24" s="308"/>
      <c r="Q24" s="462"/>
      <c r="S24" s="440"/>
      <c r="T24" s="438"/>
      <c r="V24" s="438"/>
      <c r="W24" s="324"/>
      <c r="X24" s="447"/>
      <c r="Z24" s="438"/>
      <c r="AB24" s="438"/>
      <c r="AD24" s="447"/>
      <c r="AF24" s="438"/>
      <c r="AH24" s="438"/>
      <c r="AJ24" s="447"/>
    </row>
    <row r="25" spans="1:37" ht="17.25" customHeight="1">
      <c r="A25" s="68">
        <v>1</v>
      </c>
      <c r="B25" s="14"/>
      <c r="C25" s="99" t="s">
        <v>14</v>
      </c>
      <c r="D25" s="99"/>
      <c r="E25" s="417" t="e">
        <f>+I25-Q25</f>
        <v>#REF!</v>
      </c>
      <c r="F25" s="99"/>
      <c r="G25" s="410">
        <f>+X25+MainSummary!G17</f>
        <v>14976.84</v>
      </c>
      <c r="H25" s="99"/>
      <c r="I25" s="543">
        <f>+MainSummary!I17</f>
        <v>12572.26</v>
      </c>
      <c r="J25" s="294"/>
      <c r="K25" s="566">
        <f>+AJ25+MainSummary!K17</f>
        <v>48431.97</v>
      </c>
      <c r="L25" s="326"/>
      <c r="M25" s="566">
        <f>+MainSummary!M17</f>
        <v>40926.56</v>
      </c>
      <c r="N25" s="328"/>
      <c r="O25" s="329"/>
      <c r="P25" s="326"/>
      <c r="Q25" s="463" t="e">
        <f>+MainSummary!#REF!</f>
        <v>#REF!</v>
      </c>
      <c r="S25" s="440"/>
      <c r="T25" s="327">
        <f>+AF25-Z25</f>
        <v>1398.04</v>
      </c>
      <c r="U25" s="6"/>
      <c r="V25" s="327">
        <f>+AH25-AB25</f>
        <v>539.3799999999999</v>
      </c>
      <c r="W25" s="328"/>
      <c r="X25" s="486">
        <f>+T25+V25</f>
        <v>1937.4199999999998</v>
      </c>
      <c r="Y25" s="6"/>
      <c r="Z25" s="327">
        <v>853.15</v>
      </c>
      <c r="AA25" s="6"/>
      <c r="AB25" s="502">
        <v>485.91</v>
      </c>
      <c r="AC25" s="6"/>
      <c r="AD25" s="486">
        <f>+Z25+AB25</f>
        <v>1339.06</v>
      </c>
      <c r="AE25" s="6"/>
      <c r="AF25" s="327">
        <v>2251.19</v>
      </c>
      <c r="AG25" s="6"/>
      <c r="AH25" s="327">
        <f>971.24+54.05</f>
        <v>1025.29</v>
      </c>
      <c r="AI25" s="6"/>
      <c r="AJ25" s="486">
        <f>+AF25+AH25</f>
        <v>3276.48</v>
      </c>
      <c r="AK25" s="169">
        <v>0</v>
      </c>
    </row>
    <row r="26" spans="1:37" ht="17.25" customHeight="1">
      <c r="A26" s="68">
        <f>+A25+1</f>
        <v>2</v>
      </c>
      <c r="B26" s="14"/>
      <c r="C26" s="100" t="s">
        <v>63</v>
      </c>
      <c r="D26" s="100"/>
      <c r="E26" s="399"/>
      <c r="F26" s="100"/>
      <c r="G26" s="405"/>
      <c r="H26" s="100"/>
      <c r="I26" s="325"/>
      <c r="J26" s="294"/>
      <c r="K26" s="327"/>
      <c r="L26" s="326"/>
      <c r="M26" s="327"/>
      <c r="N26" s="328"/>
      <c r="O26" s="329"/>
      <c r="P26" s="326"/>
      <c r="Q26" s="463"/>
      <c r="S26" s="440"/>
      <c r="T26" s="327"/>
      <c r="U26" s="6"/>
      <c r="V26" s="327"/>
      <c r="W26" s="328"/>
      <c r="X26" s="486"/>
      <c r="Y26" s="6"/>
      <c r="Z26" s="327"/>
      <c r="AA26" s="6"/>
      <c r="AB26" s="502"/>
      <c r="AC26" s="6"/>
      <c r="AD26" s="486"/>
      <c r="AE26" s="6"/>
      <c r="AF26" s="327"/>
      <c r="AG26" s="6"/>
      <c r="AH26" s="327"/>
      <c r="AI26" s="6"/>
      <c r="AJ26" s="486"/>
      <c r="AK26" s="502"/>
    </row>
    <row r="27" spans="1:37" ht="17.25" customHeight="1">
      <c r="A27" s="68"/>
      <c r="B27" s="14"/>
      <c r="C27" s="100" t="s">
        <v>64</v>
      </c>
      <c r="D27" s="100"/>
      <c r="E27" s="135" t="e">
        <f>+I27-Q27</f>
        <v>#REF!</v>
      </c>
      <c r="F27" s="100"/>
      <c r="G27" s="136">
        <f>+X27+MainSummary!G19</f>
        <v>0</v>
      </c>
      <c r="H27" s="100"/>
      <c r="I27" s="325">
        <f>+MainSummary!I19</f>
        <v>0</v>
      </c>
      <c r="J27" s="294"/>
      <c r="K27" s="569">
        <f>+AJ27+MainSummary!K19</f>
        <v>0</v>
      </c>
      <c r="L27" s="326"/>
      <c r="M27" s="569">
        <f>+MainSummary!M19</f>
        <v>49.47</v>
      </c>
      <c r="N27" s="302"/>
      <c r="O27" s="294"/>
      <c r="P27" s="326"/>
      <c r="Q27" s="464" t="e">
        <f>+MainSummary!#REF!</f>
        <v>#REF!</v>
      </c>
      <c r="S27" s="440"/>
      <c r="T27" s="331">
        <f>+AF27-Z27</f>
        <v>0</v>
      </c>
      <c r="U27" s="6"/>
      <c r="V27" s="331">
        <f>+AH27-AB27</f>
        <v>0</v>
      </c>
      <c r="W27" s="302"/>
      <c r="X27" s="487">
        <f>+T27+V27</f>
        <v>0</v>
      </c>
      <c r="Y27" s="6"/>
      <c r="Z27" s="331">
        <v>0</v>
      </c>
      <c r="AA27" s="6"/>
      <c r="AB27" s="340">
        <v>0</v>
      </c>
      <c r="AC27" s="6"/>
      <c r="AD27" s="487">
        <f>+Z27+AB27</f>
        <v>0</v>
      </c>
      <c r="AE27" s="6"/>
      <c r="AF27" s="331">
        <v>0</v>
      </c>
      <c r="AG27" s="6"/>
      <c r="AH27" s="331">
        <v>0</v>
      </c>
      <c r="AI27" s="6"/>
      <c r="AJ27" s="487">
        <f>+AF27+AH27</f>
        <v>0</v>
      </c>
      <c r="AK27" s="340">
        <v>0</v>
      </c>
    </row>
    <row r="28" spans="1:37" ht="17.25" customHeight="1">
      <c r="A28" s="69">
        <f>+A26+1</f>
        <v>3</v>
      </c>
      <c r="B28" s="14"/>
      <c r="C28" s="100" t="s">
        <v>293</v>
      </c>
      <c r="D28" s="100"/>
      <c r="E28" s="518" t="e">
        <f>+I28-Q28</f>
        <v>#REF!</v>
      </c>
      <c r="F28" s="100"/>
      <c r="G28" s="480">
        <f>+X28+MainSummary!G20</f>
        <v>2731.58</v>
      </c>
      <c r="H28" s="100"/>
      <c r="I28" s="545">
        <f>+MainSummary!I20</f>
        <v>1311.6</v>
      </c>
      <c r="J28" s="294"/>
      <c r="K28" s="569">
        <f>+AJ28+MainSummary!K20</f>
        <v>4060.27</v>
      </c>
      <c r="L28" s="326"/>
      <c r="M28" s="567">
        <f>+MainSummary!M20</f>
        <v>2718.74</v>
      </c>
      <c r="N28" s="302"/>
      <c r="O28" s="294"/>
      <c r="P28" s="326"/>
      <c r="Q28" s="464" t="e">
        <f>+MainSummary!#REF!</f>
        <v>#REF!</v>
      </c>
      <c r="S28" s="440"/>
      <c r="T28" s="331">
        <f>+AF28-Z28</f>
        <v>13.71</v>
      </c>
      <c r="U28" s="6"/>
      <c r="V28" s="331">
        <f>+AH28-AB28</f>
        <v>46.43</v>
      </c>
      <c r="W28" s="302"/>
      <c r="X28" s="487">
        <f>+T28+V28</f>
        <v>60.14</v>
      </c>
      <c r="Y28" s="6"/>
      <c r="Z28" s="130">
        <v>1.02</v>
      </c>
      <c r="AA28" s="6"/>
      <c r="AB28" s="503">
        <f>46.97-0.23</f>
        <v>46.74</v>
      </c>
      <c r="AC28" s="6"/>
      <c r="AD28" s="487">
        <f>+Z28+AB28</f>
        <v>47.760000000000005</v>
      </c>
      <c r="AE28" s="6"/>
      <c r="AF28" s="130">
        <v>14.73</v>
      </c>
      <c r="AG28" s="6"/>
      <c r="AH28" s="130">
        <v>93.17</v>
      </c>
      <c r="AI28" s="6"/>
      <c r="AJ28" s="487">
        <f>+AF28+AH28</f>
        <v>107.9</v>
      </c>
      <c r="AK28" s="503">
        <v>0</v>
      </c>
    </row>
    <row r="29" spans="1:37" ht="17.25" customHeight="1">
      <c r="A29" s="69">
        <f>+A28+1</f>
        <v>4</v>
      </c>
      <c r="B29" s="14"/>
      <c r="C29" s="9" t="s">
        <v>65</v>
      </c>
      <c r="D29" s="9"/>
      <c r="E29" s="541" t="e">
        <f>SUM(E25:E28)</f>
        <v>#REF!</v>
      </c>
      <c r="F29" s="9"/>
      <c r="G29" s="568">
        <f>SUM(G25:G28)</f>
        <v>17708.42</v>
      </c>
      <c r="H29" s="9"/>
      <c r="I29" s="541">
        <f>SUM(I25:I28)</f>
        <v>13883.86</v>
      </c>
      <c r="J29" s="294"/>
      <c r="K29" s="568">
        <f>SUM(K25:K28)</f>
        <v>52492.24</v>
      </c>
      <c r="L29" s="326"/>
      <c r="M29" s="568">
        <f>SUM(M25:M28)</f>
        <v>43694.77</v>
      </c>
      <c r="N29" s="294"/>
      <c r="O29" s="329"/>
      <c r="P29" s="326"/>
      <c r="Q29" s="466" t="e">
        <f>SUM(Q25:Q28)</f>
        <v>#REF!</v>
      </c>
      <c r="S29" s="440"/>
      <c r="T29" s="333">
        <f>SUM(T25:T28)</f>
        <v>1411.75</v>
      </c>
      <c r="U29" s="6"/>
      <c r="V29" s="333">
        <f>SUM(V25:V28)</f>
        <v>585.8099999999998</v>
      </c>
      <c r="W29" s="328"/>
      <c r="X29" s="488">
        <f>SUM(X25:X28)</f>
        <v>1997.56</v>
      </c>
      <c r="Y29" s="6"/>
      <c r="Z29" s="333">
        <f>SUM(Z25:Z28)</f>
        <v>854.17</v>
      </c>
      <c r="AA29" s="6"/>
      <c r="AB29" s="504">
        <f>SUM(AB25:AB28)</f>
        <v>532.65</v>
      </c>
      <c r="AC29" s="6"/>
      <c r="AD29" s="488">
        <f>SUM(AD25:AD28)</f>
        <v>1386.82</v>
      </c>
      <c r="AE29" s="6"/>
      <c r="AF29" s="333">
        <f>SUM(AF25:AF28)</f>
        <v>2265.92</v>
      </c>
      <c r="AG29" s="6"/>
      <c r="AH29" s="333">
        <f>SUM(AH25:AH28)</f>
        <v>1118.46</v>
      </c>
      <c r="AI29" s="6"/>
      <c r="AJ29" s="488">
        <f>SUM(AJ25:AJ28)</f>
        <v>3384.38</v>
      </c>
      <c r="AK29" s="504">
        <f>SUM(AK25:AK28)</f>
        <v>0</v>
      </c>
    </row>
    <row r="30" spans="1:37" ht="17.25" customHeight="1">
      <c r="A30" s="68">
        <f>+A29+1</f>
        <v>5</v>
      </c>
      <c r="B30" s="14"/>
      <c r="C30" s="9" t="s">
        <v>57</v>
      </c>
      <c r="D30" s="9"/>
      <c r="E30" s="434"/>
      <c r="F30" s="9"/>
      <c r="G30" s="484"/>
      <c r="H30" s="9"/>
      <c r="I30" s="325"/>
      <c r="J30" s="294"/>
      <c r="K30" s="327"/>
      <c r="L30" s="326"/>
      <c r="M30" s="327"/>
      <c r="N30" s="294"/>
      <c r="O30" s="329"/>
      <c r="P30" s="326"/>
      <c r="Q30" s="463"/>
      <c r="S30" s="440"/>
      <c r="T30" s="327"/>
      <c r="U30" s="6"/>
      <c r="V30" s="327"/>
      <c r="W30" s="328"/>
      <c r="X30" s="486"/>
      <c r="Y30" s="6"/>
      <c r="Z30" s="327"/>
      <c r="AA30" s="6"/>
      <c r="AB30" s="502"/>
      <c r="AC30" s="6"/>
      <c r="AD30" s="486"/>
      <c r="AE30" s="6"/>
      <c r="AF30" s="327"/>
      <c r="AG30" s="6"/>
      <c r="AH30" s="327"/>
      <c r="AI30" s="6"/>
      <c r="AJ30" s="486"/>
      <c r="AK30" s="502"/>
    </row>
    <row r="31" spans="1:37" ht="17.25" customHeight="1">
      <c r="A31" s="68"/>
      <c r="B31" s="14"/>
      <c r="C31" s="14" t="s">
        <v>226</v>
      </c>
      <c r="D31" s="14"/>
      <c r="E31" s="517" t="e">
        <f>+I31-Q31</f>
        <v>#REF!</v>
      </c>
      <c r="F31" s="14"/>
      <c r="G31" s="481">
        <f>+X31+MainSummary!G23</f>
        <v>1607.3899999999999</v>
      </c>
      <c r="H31" s="14"/>
      <c r="I31" s="546">
        <f>+MainSummary!I23</f>
        <v>688.45</v>
      </c>
      <c r="J31" s="294"/>
      <c r="K31" s="569">
        <f>+AJ31+MainSummary!K23</f>
        <v>-1358.63</v>
      </c>
      <c r="L31" s="326"/>
      <c r="M31" s="569">
        <f>+MainSummary!M23</f>
        <v>-460.45</v>
      </c>
      <c r="N31" s="302"/>
      <c r="O31" s="294"/>
      <c r="P31" s="326"/>
      <c r="Q31" s="464" t="e">
        <f>+MainSummary!#REF!</f>
        <v>#REF!</v>
      </c>
      <c r="S31" s="440"/>
      <c r="T31" s="331">
        <f>+AF31-Z31</f>
        <v>-117.44</v>
      </c>
      <c r="U31" s="6"/>
      <c r="V31" s="331">
        <f>+AH31-AB31</f>
        <v>16.250000000000007</v>
      </c>
      <c r="W31" s="302"/>
      <c r="X31" s="487">
        <f>+T31+V31</f>
        <v>-101.19</v>
      </c>
      <c r="Y31" s="6"/>
      <c r="Z31" s="331">
        <v>-134.73</v>
      </c>
      <c r="AA31" s="6"/>
      <c r="AB31" s="340">
        <v>-72.26</v>
      </c>
      <c r="AC31" s="6"/>
      <c r="AD31" s="487">
        <f>+Z31+AB31</f>
        <v>-206.99</v>
      </c>
      <c r="AE31" s="6"/>
      <c r="AF31" s="331">
        <v>-252.17</v>
      </c>
      <c r="AG31" s="6"/>
      <c r="AH31" s="331">
        <v>-56.01</v>
      </c>
      <c r="AI31" s="6"/>
      <c r="AJ31" s="487">
        <f>+AF31+AH31</f>
        <v>-308.18</v>
      </c>
      <c r="AK31" s="340">
        <v>0</v>
      </c>
    </row>
    <row r="32" spans="1:37" ht="17.25" customHeight="1">
      <c r="A32" s="68"/>
      <c r="B32" s="14"/>
      <c r="C32" s="14" t="s">
        <v>19</v>
      </c>
      <c r="D32" s="14"/>
      <c r="E32" s="517" t="e">
        <f>+I32-Q32</f>
        <v>#REF!</v>
      </c>
      <c r="F32" s="14"/>
      <c r="G32" s="482">
        <f>+X32+MainSummary!G24</f>
        <v>3987.6800000000003</v>
      </c>
      <c r="H32" s="14"/>
      <c r="I32" s="546">
        <f>+MainSummary!I24</f>
        <v>4692.72</v>
      </c>
      <c r="J32" s="294"/>
      <c r="K32" s="567">
        <f>+AJ32+MainSummary!K24</f>
        <v>19126.78</v>
      </c>
      <c r="L32" s="326"/>
      <c r="M32" s="567">
        <f>+MainSummary!M24</f>
        <v>16171.21</v>
      </c>
      <c r="N32" s="302"/>
      <c r="O32" s="294"/>
      <c r="P32" s="326"/>
      <c r="Q32" s="464" t="e">
        <f>+MainSummary!#REF!</f>
        <v>#REF!</v>
      </c>
      <c r="S32" s="440"/>
      <c r="T32" s="331">
        <f>+AF32-Z32</f>
        <v>29.049999999999997</v>
      </c>
      <c r="U32" s="6"/>
      <c r="V32" s="331">
        <f>+AH32-AB32</f>
        <v>196.50000000000003</v>
      </c>
      <c r="W32" s="302"/>
      <c r="X32" s="487">
        <f>+T32+V32</f>
        <v>225.55</v>
      </c>
      <c r="Y32" s="6"/>
      <c r="Z32" s="331">
        <v>20.28</v>
      </c>
      <c r="AA32" s="6"/>
      <c r="AB32" s="340">
        <v>249.04</v>
      </c>
      <c r="AC32" s="6"/>
      <c r="AD32" s="487">
        <f>+Z32+AB32</f>
        <v>269.32</v>
      </c>
      <c r="AE32" s="6"/>
      <c r="AF32" s="331">
        <v>49.33</v>
      </c>
      <c r="AG32" s="6"/>
      <c r="AH32" s="331">
        <v>445.54</v>
      </c>
      <c r="AI32" s="6"/>
      <c r="AJ32" s="487">
        <f>+AF32+AH32</f>
        <v>494.87</v>
      </c>
      <c r="AK32" s="340">
        <v>0</v>
      </c>
    </row>
    <row r="33" spans="1:37" ht="17.25" customHeight="1">
      <c r="A33" s="68"/>
      <c r="B33" s="14"/>
      <c r="C33" s="14" t="s">
        <v>20</v>
      </c>
      <c r="D33" s="14"/>
      <c r="E33" s="518" t="e">
        <f>+I33-Q33</f>
        <v>#REF!</v>
      </c>
      <c r="F33" s="14"/>
      <c r="G33" s="481">
        <f>+X33+MainSummary!G25</f>
        <v>1988.9100000000003</v>
      </c>
      <c r="H33" s="14"/>
      <c r="I33" s="546">
        <f>+MainSummary!I25</f>
        <v>1681.65</v>
      </c>
      <c r="J33" s="294"/>
      <c r="K33" s="567">
        <f>+AJ33+MainSummary!K25</f>
        <v>5586.43</v>
      </c>
      <c r="L33" s="326"/>
      <c r="M33" s="567">
        <f>+MainSummary!M25</f>
        <v>4217.54</v>
      </c>
      <c r="N33" s="302"/>
      <c r="O33" s="294"/>
      <c r="P33" s="326"/>
      <c r="Q33" s="464" t="e">
        <f>+MainSummary!#REF!</f>
        <v>#REF!</v>
      </c>
      <c r="S33" s="440"/>
      <c r="T33" s="331">
        <f>+AF33-Z33</f>
        <v>872.3300000000002</v>
      </c>
      <c r="U33" s="6"/>
      <c r="V33" s="331">
        <f>+AH33-AB33</f>
        <v>31.37</v>
      </c>
      <c r="W33" s="302"/>
      <c r="X33" s="487">
        <f>+T33+V33</f>
        <v>903.7000000000002</v>
      </c>
      <c r="Y33" s="6"/>
      <c r="Z33" s="331">
        <v>508.82</v>
      </c>
      <c r="AA33" s="6"/>
      <c r="AB33" s="340">
        <v>0</v>
      </c>
      <c r="AC33" s="6"/>
      <c r="AD33" s="487">
        <f>+Z33+AB33</f>
        <v>508.82</v>
      </c>
      <c r="AE33" s="6"/>
      <c r="AF33" s="331">
        <v>1381.15</v>
      </c>
      <c r="AG33" s="6"/>
      <c r="AH33" s="331">
        <v>31.37</v>
      </c>
      <c r="AI33" s="6"/>
      <c r="AJ33" s="487">
        <f>+AF33+AH33</f>
        <v>1412.52</v>
      </c>
      <c r="AK33" s="340">
        <v>0</v>
      </c>
    </row>
    <row r="34" spans="1:37" ht="17.25" customHeight="1">
      <c r="A34" s="68"/>
      <c r="B34" s="14"/>
      <c r="C34" s="100" t="s">
        <v>15</v>
      </c>
      <c r="D34" s="100"/>
      <c r="E34" s="517" t="e">
        <f>+I34-Q34</f>
        <v>#REF!</v>
      </c>
      <c r="F34" s="100"/>
      <c r="G34" s="482">
        <f>+X34+MainSummary!G26</f>
        <v>1752.47</v>
      </c>
      <c r="H34" s="100"/>
      <c r="I34" s="546">
        <f>+MainSummary!I26</f>
        <v>1575.18</v>
      </c>
      <c r="J34" s="294"/>
      <c r="K34" s="567">
        <f>+AJ34+MainSummary!K26</f>
        <v>6484.129999999999</v>
      </c>
      <c r="L34" s="326"/>
      <c r="M34" s="567">
        <f>+MainSummary!M26</f>
        <v>5637.09</v>
      </c>
      <c r="N34" s="302"/>
      <c r="O34" s="294"/>
      <c r="P34" s="326"/>
      <c r="Q34" s="464" t="e">
        <f>+MainSummary!#REF!</f>
        <v>#REF!</v>
      </c>
      <c r="S34" s="440"/>
      <c r="T34" s="331">
        <f>+AF34-Z34</f>
        <v>219.97000000000003</v>
      </c>
      <c r="U34" s="6"/>
      <c r="V34" s="331">
        <f>+AH34-AB34</f>
        <v>61.550000000000004</v>
      </c>
      <c r="W34" s="302"/>
      <c r="X34" s="487">
        <f>+T34+V34</f>
        <v>281.52000000000004</v>
      </c>
      <c r="Y34" s="6"/>
      <c r="Z34" s="331">
        <v>203.75</v>
      </c>
      <c r="AA34" s="6"/>
      <c r="AB34" s="340">
        <v>53.96</v>
      </c>
      <c r="AC34" s="6"/>
      <c r="AD34" s="487">
        <f>+Z34+AB34</f>
        <v>257.71</v>
      </c>
      <c r="AE34" s="6"/>
      <c r="AF34" s="331">
        <v>423.72</v>
      </c>
      <c r="AG34" s="6"/>
      <c r="AH34" s="331">
        <v>115.51</v>
      </c>
      <c r="AI34" s="6"/>
      <c r="AJ34" s="487">
        <f>+AF34+AH34</f>
        <v>539.23</v>
      </c>
      <c r="AK34" s="340">
        <v>0</v>
      </c>
    </row>
    <row r="35" spans="1:37" ht="17.25" customHeight="1">
      <c r="A35" s="68"/>
      <c r="B35" s="14"/>
      <c r="C35" s="100" t="s">
        <v>298</v>
      </c>
      <c r="D35" s="100"/>
      <c r="E35" s="517" t="e">
        <f>+I35-Q35</f>
        <v>#REF!</v>
      </c>
      <c r="F35" s="100"/>
      <c r="G35" s="483">
        <f>+X35+MainSummary!G27</f>
        <v>5108.76</v>
      </c>
      <c r="H35" s="100"/>
      <c r="I35" s="546">
        <f>+MainSummary!I27</f>
        <v>3946.45</v>
      </c>
      <c r="J35" s="294"/>
      <c r="K35" s="567">
        <f>+AJ35+MainSummary!K27</f>
        <v>16466.89</v>
      </c>
      <c r="L35" s="326"/>
      <c r="M35" s="567">
        <f>+MainSummary!M27</f>
        <v>13425.14</v>
      </c>
      <c r="N35" s="302"/>
      <c r="O35" s="294"/>
      <c r="P35" s="326"/>
      <c r="Q35" s="464" t="e">
        <f>+MainSummary!#REF!</f>
        <v>#REF!</v>
      </c>
      <c r="S35" s="440"/>
      <c r="T35" s="331">
        <f>+AF35-Z35</f>
        <v>229.71</v>
      </c>
      <c r="U35" s="6"/>
      <c r="V35" s="331">
        <f>+AH35-AB35</f>
        <v>235.84000000000003</v>
      </c>
      <c r="W35" s="302"/>
      <c r="X35" s="487">
        <f>+T35+V35</f>
        <v>465.55000000000007</v>
      </c>
      <c r="Y35" s="6"/>
      <c r="Z35" s="331">
        <v>191.67</v>
      </c>
      <c r="AA35" s="6"/>
      <c r="AB35" s="340">
        <f>461.28-230.74</f>
        <v>230.53999999999996</v>
      </c>
      <c r="AC35" s="6"/>
      <c r="AD35" s="487">
        <f>+Z35+AB35</f>
        <v>422.2099999999999</v>
      </c>
      <c r="AE35" s="6"/>
      <c r="AF35" s="331">
        <v>421.38</v>
      </c>
      <c r="AG35" s="6"/>
      <c r="AH35" s="331">
        <v>466.38</v>
      </c>
      <c r="AI35" s="6"/>
      <c r="AJ35" s="487">
        <f>+AF35+AH35</f>
        <v>887.76</v>
      </c>
      <c r="AK35" s="340">
        <v>0</v>
      </c>
    </row>
    <row r="36" spans="1:37" ht="17.25" customHeight="1">
      <c r="A36" s="68"/>
      <c r="B36" s="14"/>
      <c r="C36" s="14" t="s">
        <v>30</v>
      </c>
      <c r="D36" s="14"/>
      <c r="E36" s="541" t="e">
        <f>SUM(E31:E35)</f>
        <v>#REF!</v>
      </c>
      <c r="F36" s="14"/>
      <c r="G36" s="568">
        <f>SUM(G31:G35)</f>
        <v>14445.21</v>
      </c>
      <c r="H36" s="14"/>
      <c r="I36" s="541">
        <f>SUM(I31:I35)</f>
        <v>12584.45</v>
      </c>
      <c r="J36" s="294"/>
      <c r="K36" s="568">
        <f>SUM(K31:K35)</f>
        <v>46305.6</v>
      </c>
      <c r="L36" s="326"/>
      <c r="M36" s="568">
        <f>SUM(M31:M35)</f>
        <v>38990.53</v>
      </c>
      <c r="N36" s="294"/>
      <c r="O36" s="329"/>
      <c r="P36" s="326"/>
      <c r="Q36" s="466" t="e">
        <f>SUM(Q31:Q35)</f>
        <v>#REF!</v>
      </c>
      <c r="S36" s="440"/>
      <c r="T36" s="333">
        <f>SUM(T31:T35)</f>
        <v>1233.6200000000001</v>
      </c>
      <c r="U36" s="6"/>
      <c r="V36" s="333">
        <f>SUM(V31:V35)</f>
        <v>541.51</v>
      </c>
      <c r="W36" s="328"/>
      <c r="X36" s="488">
        <f>SUM(X31:X35)</f>
        <v>1775.13</v>
      </c>
      <c r="Y36" s="6"/>
      <c r="Z36" s="333">
        <f>SUM(Z31:Z35)</f>
        <v>789.79</v>
      </c>
      <c r="AA36" s="6"/>
      <c r="AB36" s="504">
        <f>SUM(AB31:AB35)</f>
        <v>461.28</v>
      </c>
      <c r="AC36" s="6"/>
      <c r="AD36" s="488">
        <f>SUM(AD31:AD35)</f>
        <v>1251.0699999999997</v>
      </c>
      <c r="AE36" s="6"/>
      <c r="AF36" s="333">
        <f>SUM(AF31:AF35)</f>
        <v>2023.4100000000003</v>
      </c>
      <c r="AG36" s="6"/>
      <c r="AH36" s="333">
        <f>SUM(AH31:AH35)</f>
        <v>1002.7900000000001</v>
      </c>
      <c r="AI36" s="6"/>
      <c r="AJ36" s="488">
        <f>SUM(AJ31:AJ35)</f>
        <v>3026.2</v>
      </c>
      <c r="AK36" s="504">
        <f>SUM(AK31:AK35)</f>
        <v>0</v>
      </c>
    </row>
    <row r="37" spans="1:37" ht="17.25" customHeight="1">
      <c r="A37" s="68">
        <f>+A30+1</f>
        <v>6</v>
      </c>
      <c r="B37" s="14"/>
      <c r="C37" s="100" t="s">
        <v>304</v>
      </c>
      <c r="D37" s="100"/>
      <c r="E37" s="518" t="e">
        <f>+I37-Q37</f>
        <v>#REF!</v>
      </c>
      <c r="F37" s="100"/>
      <c r="G37" s="481">
        <f>+X37+MainSummary!G29</f>
        <v>315.08000000000004</v>
      </c>
      <c r="H37" s="100"/>
      <c r="I37" s="545">
        <f>+MainSummary!I29</f>
        <v>208.59</v>
      </c>
      <c r="J37" s="294"/>
      <c r="K37" s="569">
        <f>+AJ37+MainSummary!K29</f>
        <v>1100.55</v>
      </c>
      <c r="L37" s="326"/>
      <c r="M37" s="569">
        <f>+MainSummary!M29</f>
        <v>752.7</v>
      </c>
      <c r="N37" s="302"/>
      <c r="O37" s="294"/>
      <c r="P37" s="326"/>
      <c r="Q37" s="464" t="e">
        <f>+MainSummary!#REF!</f>
        <v>#REF!</v>
      </c>
      <c r="S37" s="440"/>
      <c r="T37" s="331">
        <f>+AF37-Z37</f>
        <v>39.78</v>
      </c>
      <c r="U37" s="6"/>
      <c r="V37" s="331">
        <f>+AH37-AB37</f>
        <v>2.2</v>
      </c>
      <c r="W37" s="302"/>
      <c r="X37" s="487">
        <f>+T37+V37</f>
        <v>41.980000000000004</v>
      </c>
      <c r="Y37" s="6"/>
      <c r="Z37" s="331">
        <v>34.06</v>
      </c>
      <c r="AA37" s="6"/>
      <c r="AB37" s="340">
        <f>1.21-0.23</f>
        <v>0.98</v>
      </c>
      <c r="AC37" s="6"/>
      <c r="AD37" s="487">
        <f>+Z37+AB37</f>
        <v>35.04</v>
      </c>
      <c r="AE37" s="6"/>
      <c r="AF37" s="331">
        <v>73.84</v>
      </c>
      <c r="AG37" s="6"/>
      <c r="AH37" s="331">
        <v>3.18</v>
      </c>
      <c r="AI37" s="6"/>
      <c r="AJ37" s="487">
        <f>+AF37+AH37</f>
        <v>77.02000000000001</v>
      </c>
      <c r="AK37" s="340">
        <v>0</v>
      </c>
    </row>
    <row r="38" spans="1:37" ht="17.25" customHeight="1">
      <c r="A38" s="68">
        <f>+A37+1</f>
        <v>7</v>
      </c>
      <c r="B38" s="14"/>
      <c r="C38" s="100" t="s">
        <v>163</v>
      </c>
      <c r="D38" s="100"/>
      <c r="E38" s="399"/>
      <c r="F38" s="100"/>
      <c r="G38" s="412"/>
      <c r="H38" s="100"/>
      <c r="I38" s="334"/>
      <c r="J38" s="230"/>
      <c r="K38" s="346"/>
      <c r="L38" s="230"/>
      <c r="M38" s="346"/>
      <c r="N38" s="230"/>
      <c r="O38" s="335"/>
      <c r="P38" s="335"/>
      <c r="Q38" s="467"/>
      <c r="S38" s="440"/>
      <c r="T38" s="346"/>
      <c r="U38" s="6"/>
      <c r="V38" s="346"/>
      <c r="W38" s="489"/>
      <c r="X38" s="490"/>
      <c r="Y38" s="6"/>
      <c r="Z38" s="346"/>
      <c r="AA38" s="6"/>
      <c r="AB38" s="346"/>
      <c r="AC38" s="6"/>
      <c r="AD38" s="490"/>
      <c r="AE38" s="6"/>
      <c r="AF38" s="346"/>
      <c r="AG38" s="6"/>
      <c r="AH38" s="346"/>
      <c r="AI38" s="6"/>
      <c r="AJ38" s="490"/>
      <c r="AK38" s="346"/>
    </row>
    <row r="39" spans="1:37" ht="17.25" customHeight="1">
      <c r="A39" s="68"/>
      <c r="B39" s="14"/>
      <c r="C39" s="100" t="s">
        <v>292</v>
      </c>
      <c r="D39" s="100"/>
      <c r="E39" s="518" t="e">
        <f>+I39-Q39</f>
        <v>#REF!</v>
      </c>
      <c r="F39" s="100"/>
      <c r="G39" s="481">
        <f>+X39+MainSummary!G31</f>
        <v>16.41</v>
      </c>
      <c r="H39" s="100"/>
      <c r="I39" s="562">
        <f>+MainSummary!I31</f>
        <v>6.46</v>
      </c>
      <c r="J39" s="294"/>
      <c r="K39" s="571">
        <f>+AJ39+MainSummary!K31</f>
        <v>54.660000000000004</v>
      </c>
      <c r="L39" s="326"/>
      <c r="M39" s="571">
        <f>+MainSummary!M31</f>
        <v>23.86</v>
      </c>
      <c r="N39" s="302"/>
      <c r="O39" s="294"/>
      <c r="P39" s="326"/>
      <c r="Q39" s="465" t="e">
        <f>+MainSummary!#REF!</f>
        <v>#REF!</v>
      </c>
      <c r="S39" s="440"/>
      <c r="T39" s="130">
        <f>+AF39-Z39</f>
        <v>4.89</v>
      </c>
      <c r="U39" s="6"/>
      <c r="V39" s="130">
        <f>+AH39-AB39</f>
        <v>0</v>
      </c>
      <c r="W39" s="302"/>
      <c r="X39" s="491">
        <f>+T39+V39</f>
        <v>4.89</v>
      </c>
      <c r="Y39" s="6"/>
      <c r="Z39" s="130">
        <v>4.89</v>
      </c>
      <c r="AA39" s="6"/>
      <c r="AB39" s="503">
        <v>0</v>
      </c>
      <c r="AC39" s="6"/>
      <c r="AD39" s="491">
        <f>+Z39+AB39</f>
        <v>4.89</v>
      </c>
      <c r="AE39" s="6"/>
      <c r="AF39" s="130">
        <v>9.78</v>
      </c>
      <c r="AG39" s="6"/>
      <c r="AH39" s="130">
        <v>0</v>
      </c>
      <c r="AI39" s="6"/>
      <c r="AJ39" s="491">
        <f>+AF39+AH39</f>
        <v>9.78</v>
      </c>
      <c r="AK39" s="503">
        <v>0</v>
      </c>
    </row>
    <row r="40" spans="1:37" ht="30" customHeight="1">
      <c r="A40" s="353">
        <f>+A38+1</f>
        <v>8</v>
      </c>
      <c r="B40" s="14"/>
      <c r="C40" s="395" t="s">
        <v>265</v>
      </c>
      <c r="D40" s="396"/>
      <c r="E40" s="519" t="e">
        <f>+E29-E36-E37-E39</f>
        <v>#REF!</v>
      </c>
      <c r="F40" s="396"/>
      <c r="G40" s="413">
        <f>+G29-G36-G37-G39</f>
        <v>2931.7199999999993</v>
      </c>
      <c r="H40" s="99"/>
      <c r="I40" s="564">
        <f>+I29-I36-I37-I39</f>
        <v>1084.36</v>
      </c>
      <c r="J40" s="355"/>
      <c r="K40" s="572">
        <f>+K29-K36-K37-K39</f>
        <v>5031.429999999999</v>
      </c>
      <c r="L40" s="357"/>
      <c r="M40" s="572">
        <f>+M29-M36-M37-M39</f>
        <v>3927.679999999998</v>
      </c>
      <c r="N40" s="328"/>
      <c r="O40" s="329"/>
      <c r="P40" s="336"/>
      <c r="Q40" s="468" t="e">
        <f>+Q29-Q36-Q37-Q39</f>
        <v>#REF!</v>
      </c>
      <c r="S40" s="440"/>
      <c r="T40" s="356">
        <f>+T29-T36-T37-T39</f>
        <v>133.4599999999999</v>
      </c>
      <c r="U40" s="6"/>
      <c r="V40" s="356">
        <f>+V29-V36-V37-V39</f>
        <v>42.09999999999984</v>
      </c>
      <c r="W40" s="492"/>
      <c r="X40" s="493">
        <f>+X29-X36-X37-X39</f>
        <v>175.55999999999983</v>
      </c>
      <c r="Y40" s="6"/>
      <c r="Z40" s="356">
        <f>+Z29-Z36-Z37-Z39</f>
        <v>25.429999999999993</v>
      </c>
      <c r="AA40" s="6"/>
      <c r="AB40" s="505">
        <f>+AB29-AB36-AB37-AB39</f>
        <v>70.39</v>
      </c>
      <c r="AC40" s="6"/>
      <c r="AD40" s="493">
        <f>+AD29-AD36-AD37-AD39</f>
        <v>95.82000000000023</v>
      </c>
      <c r="AE40" s="6"/>
      <c r="AF40" s="356">
        <f>+AF29-AF36-AF37-AF39</f>
        <v>158.88999999999976</v>
      </c>
      <c r="AG40" s="6"/>
      <c r="AH40" s="356">
        <f>+AH29-AH36-AH37-AH39</f>
        <v>112.48999999999995</v>
      </c>
      <c r="AI40" s="6"/>
      <c r="AJ40" s="493">
        <f>+AJ29-AJ36-AJ37-AJ39</f>
        <v>271.38000000000034</v>
      </c>
      <c r="AK40" s="505">
        <f>+AK29-AK36-AK37-AK39</f>
        <v>0</v>
      </c>
    </row>
    <row r="41" spans="1:37" ht="17.25" customHeight="1">
      <c r="A41" s="68">
        <f aca="true" t="shared" si="0" ref="A41:A46">+A40+1</f>
        <v>9</v>
      </c>
      <c r="B41" s="14"/>
      <c r="C41" s="100" t="s">
        <v>67</v>
      </c>
      <c r="D41" s="100"/>
      <c r="E41" s="518" t="e">
        <f>+I41-Q41</f>
        <v>#REF!</v>
      </c>
      <c r="F41" s="100"/>
      <c r="G41" s="481">
        <f>+X41+MainSummary!G33</f>
        <v>607.3000000000001</v>
      </c>
      <c r="H41" s="100"/>
      <c r="I41" s="561">
        <f>+MainSummary!I33</f>
        <v>254.02</v>
      </c>
      <c r="J41" s="294"/>
      <c r="K41" s="571">
        <f>+AJ41+MainSummary!K33</f>
        <v>2275.7599999999998</v>
      </c>
      <c r="L41" s="326"/>
      <c r="M41" s="575">
        <f>+MainSummary!M33</f>
        <v>1769.66</v>
      </c>
      <c r="N41" s="302"/>
      <c r="O41" s="294"/>
      <c r="P41" s="326"/>
      <c r="Q41" s="465" t="e">
        <f>+MainSummary!#REF!</f>
        <v>#REF!</v>
      </c>
      <c r="S41" s="440"/>
      <c r="T41" s="130">
        <f>+AF41-Z41</f>
        <v>7.5</v>
      </c>
      <c r="U41" s="6"/>
      <c r="V41" s="130">
        <f>+AH41-AB41</f>
        <v>55.45</v>
      </c>
      <c r="W41" s="302"/>
      <c r="X41" s="491">
        <f>+T41+V41</f>
        <v>62.95</v>
      </c>
      <c r="Y41" s="6"/>
      <c r="Z41" s="130">
        <v>7.5</v>
      </c>
      <c r="AA41" s="6"/>
      <c r="AB41" s="503">
        <v>55.44</v>
      </c>
      <c r="AC41" s="6"/>
      <c r="AD41" s="491">
        <f>+Z41+AB41</f>
        <v>62.94</v>
      </c>
      <c r="AE41" s="6"/>
      <c r="AF41" s="130">
        <v>15</v>
      </c>
      <c r="AG41" s="6"/>
      <c r="AH41" s="130">
        <v>110.89</v>
      </c>
      <c r="AI41" s="6"/>
      <c r="AJ41" s="491">
        <f>+AF41+AH41</f>
        <v>125.89</v>
      </c>
      <c r="AK41" s="503">
        <v>0</v>
      </c>
    </row>
    <row r="42" spans="1:37" ht="33" customHeight="1">
      <c r="A42" s="353">
        <f t="shared" si="0"/>
        <v>10</v>
      </c>
      <c r="B42" s="14"/>
      <c r="C42" s="395" t="s">
        <v>269</v>
      </c>
      <c r="D42" s="397"/>
      <c r="E42" s="519" t="e">
        <f>+E40-E41</f>
        <v>#REF!</v>
      </c>
      <c r="F42" s="397"/>
      <c r="G42" s="413">
        <f>+G40-G41</f>
        <v>2324.419999999999</v>
      </c>
      <c r="H42" s="99"/>
      <c r="I42" s="565">
        <f>+I40-I41</f>
        <v>830.3399999999999</v>
      </c>
      <c r="J42" s="358"/>
      <c r="K42" s="573">
        <f>+K40-K41</f>
        <v>2755.6699999999996</v>
      </c>
      <c r="L42" s="359"/>
      <c r="M42" s="572">
        <f>+M40-M41</f>
        <v>2158.0199999999977</v>
      </c>
      <c r="N42" s="294"/>
      <c r="O42" s="329"/>
      <c r="P42" s="326"/>
      <c r="Q42" s="468" t="e">
        <f>+Q40-Q41</f>
        <v>#REF!</v>
      </c>
      <c r="S42" s="440"/>
      <c r="T42" s="356">
        <f>+T40-T41</f>
        <v>125.9599999999999</v>
      </c>
      <c r="U42" s="6"/>
      <c r="V42" s="356">
        <f>+V40-V41</f>
        <v>-13.350000000000165</v>
      </c>
      <c r="W42" s="492"/>
      <c r="X42" s="493">
        <f>+X40-X41</f>
        <v>112.60999999999983</v>
      </c>
      <c r="Y42" s="6"/>
      <c r="Z42" s="356">
        <f>+Z40-Z41</f>
        <v>17.929999999999993</v>
      </c>
      <c r="AA42" s="6"/>
      <c r="AB42" s="505">
        <f>+AB40-AB41</f>
        <v>14.950000000000003</v>
      </c>
      <c r="AC42" s="6"/>
      <c r="AD42" s="493">
        <f>+AD40-AD41</f>
        <v>32.88000000000024</v>
      </c>
      <c r="AE42" s="6"/>
      <c r="AF42" s="356">
        <f>+AF40-AF41</f>
        <v>143.88999999999976</v>
      </c>
      <c r="AG42" s="6"/>
      <c r="AH42" s="356">
        <f>+AH40-AH41</f>
        <v>1.5999999999999517</v>
      </c>
      <c r="AI42" s="6"/>
      <c r="AJ42" s="493">
        <f>+AJ40-AJ41</f>
        <v>145.49000000000035</v>
      </c>
      <c r="AK42" s="505">
        <f>+AK40-AK41</f>
        <v>0</v>
      </c>
    </row>
    <row r="43" spans="1:37" ht="17.25" customHeight="1">
      <c r="A43" s="68">
        <f t="shared" si="0"/>
        <v>11</v>
      </c>
      <c r="B43" s="14"/>
      <c r="C43" s="100" t="s">
        <v>173</v>
      </c>
      <c r="D43" s="99"/>
      <c r="E43" s="135" t="e">
        <f>+I43-Q43</f>
        <v>#REF!</v>
      </c>
      <c r="F43" s="99"/>
      <c r="G43" s="411">
        <f>+X43+MainSummary!G35</f>
        <v>0</v>
      </c>
      <c r="H43" s="99"/>
      <c r="I43" s="325">
        <f>+MainSummary!I35</f>
        <v>278.37</v>
      </c>
      <c r="J43" s="294"/>
      <c r="K43" s="331">
        <f>+AJ43+MainSummary!K35</f>
        <v>0</v>
      </c>
      <c r="L43" s="326"/>
      <c r="M43" s="569">
        <f>+MainSummary!M35</f>
        <v>278.37</v>
      </c>
      <c r="N43" s="294"/>
      <c r="O43" s="329"/>
      <c r="P43" s="326"/>
      <c r="Q43" s="464" t="e">
        <f>+MainSummary!#REF!</f>
        <v>#REF!</v>
      </c>
      <c r="S43" s="440"/>
      <c r="T43" s="331">
        <f>+AF43-Z43</f>
        <v>0</v>
      </c>
      <c r="U43" s="6"/>
      <c r="V43" s="331">
        <f>+AH43-AB43</f>
        <v>0</v>
      </c>
      <c r="W43" s="328"/>
      <c r="X43" s="487">
        <f>+T43+V43</f>
        <v>0</v>
      </c>
      <c r="Y43" s="6"/>
      <c r="Z43" s="327">
        <v>0</v>
      </c>
      <c r="AA43" s="6"/>
      <c r="AB43" s="340">
        <v>0</v>
      </c>
      <c r="AC43" s="6"/>
      <c r="AD43" s="487">
        <f>+Z43+AB43</f>
        <v>0</v>
      </c>
      <c r="AE43" s="6"/>
      <c r="AF43" s="327">
        <v>0</v>
      </c>
      <c r="AG43" s="6"/>
      <c r="AH43" s="327">
        <v>0</v>
      </c>
      <c r="AI43" s="6"/>
      <c r="AJ43" s="487">
        <f>+AF43+AH43</f>
        <v>0</v>
      </c>
      <c r="AK43" s="502">
        <v>0</v>
      </c>
    </row>
    <row r="44" spans="1:37" ht="17.25" customHeight="1">
      <c r="A44" s="68">
        <f t="shared" si="0"/>
        <v>12</v>
      </c>
      <c r="B44" s="14"/>
      <c r="C44" s="100" t="s">
        <v>174</v>
      </c>
      <c r="D44" s="99"/>
      <c r="E44" s="423" t="e">
        <f>+I44-Q44</f>
        <v>#REF!</v>
      </c>
      <c r="F44" s="99"/>
      <c r="G44" s="411">
        <f>+X44+MainSummary!G36</f>
        <v>48.03</v>
      </c>
      <c r="H44" s="99"/>
      <c r="I44" s="337">
        <f>+MainSummary!I36</f>
        <v>146.94</v>
      </c>
      <c r="J44" s="294"/>
      <c r="K44" s="130">
        <f>+AJ44+MainSummary!K36</f>
        <v>48.03</v>
      </c>
      <c r="L44" s="326"/>
      <c r="M44" s="571">
        <f>+MainSummary!M36</f>
        <v>146.94</v>
      </c>
      <c r="N44" s="294"/>
      <c r="O44" s="329"/>
      <c r="P44" s="326"/>
      <c r="Q44" s="465" t="e">
        <f>+MainSummary!#REF!</f>
        <v>#REF!</v>
      </c>
      <c r="S44" s="440"/>
      <c r="T44" s="130">
        <f>+AF44-Z44</f>
        <v>0</v>
      </c>
      <c r="U44" s="6"/>
      <c r="V44" s="130">
        <f>+AH44-AB44</f>
        <v>0</v>
      </c>
      <c r="W44" s="328"/>
      <c r="X44" s="491">
        <f>+T44+V44</f>
        <v>0</v>
      </c>
      <c r="Y44" s="6"/>
      <c r="Z44" s="338">
        <v>0</v>
      </c>
      <c r="AA44" s="6"/>
      <c r="AB44" s="503">
        <v>0</v>
      </c>
      <c r="AC44" s="6"/>
      <c r="AD44" s="491">
        <f>+Z44+AB44</f>
        <v>0</v>
      </c>
      <c r="AE44" s="6"/>
      <c r="AF44" s="338">
        <v>0</v>
      </c>
      <c r="AG44" s="6"/>
      <c r="AH44" s="338">
        <v>0</v>
      </c>
      <c r="AI44" s="6"/>
      <c r="AJ44" s="491">
        <f>+AF44+AH44</f>
        <v>0</v>
      </c>
      <c r="AK44" s="506">
        <v>0</v>
      </c>
    </row>
    <row r="45" spans="1:40" ht="31.5">
      <c r="A45" s="353">
        <f t="shared" si="0"/>
        <v>13</v>
      </c>
      <c r="B45" s="14"/>
      <c r="C45" s="602" t="s">
        <v>315</v>
      </c>
      <c r="D45" s="99"/>
      <c r="E45" s="565" t="e">
        <f>+E42-E43+E44</f>
        <v>#REF!</v>
      </c>
      <c r="F45" s="603"/>
      <c r="G45" s="413">
        <f>+G42-G43+G44</f>
        <v>2372.4499999999994</v>
      </c>
      <c r="H45" s="603"/>
      <c r="I45" s="519">
        <f>+I42-I43+I44</f>
        <v>698.9099999999999</v>
      </c>
      <c r="J45" s="358"/>
      <c r="K45" s="573">
        <f>+K42-K43+K44</f>
        <v>2803.7</v>
      </c>
      <c r="L45" s="359"/>
      <c r="M45" s="604">
        <f>+M42-M43+M44</f>
        <v>2026.5899999999979</v>
      </c>
      <c r="N45" s="358"/>
      <c r="O45" s="355"/>
      <c r="P45" s="359"/>
      <c r="Q45" s="468" t="e">
        <f>+Q42-Q43+Q44</f>
        <v>#REF!</v>
      </c>
      <c r="R45" s="83"/>
      <c r="S45" s="605"/>
      <c r="T45" s="356">
        <f>+T42-T43+T44</f>
        <v>125.9599999999999</v>
      </c>
      <c r="U45" s="84"/>
      <c r="V45" s="356">
        <f>+V42-V43+V44</f>
        <v>-13.350000000000165</v>
      </c>
      <c r="W45" s="492"/>
      <c r="X45" s="493">
        <f>+X42-X43+X44</f>
        <v>112.60999999999983</v>
      </c>
      <c r="Y45" s="84"/>
      <c r="Z45" s="356">
        <f>+Z42-Z43+Z44</f>
        <v>17.929999999999993</v>
      </c>
      <c r="AA45" s="84"/>
      <c r="AB45" s="505">
        <f>+AB42-AB43+AB44</f>
        <v>14.950000000000003</v>
      </c>
      <c r="AC45" s="84"/>
      <c r="AD45" s="493">
        <f>+AD42-AD43+AD44</f>
        <v>32.88000000000024</v>
      </c>
      <c r="AE45" s="84"/>
      <c r="AF45" s="356">
        <f>+AF42-AF43+AF44</f>
        <v>143.88999999999976</v>
      </c>
      <c r="AG45" s="84"/>
      <c r="AH45" s="356">
        <f>+AH42-AH43+AH44</f>
        <v>1.5999999999999517</v>
      </c>
      <c r="AI45" s="84"/>
      <c r="AJ45" s="493">
        <f>+AJ42-AJ43+AJ44</f>
        <v>145.49000000000035</v>
      </c>
      <c r="AK45" s="505">
        <f>+AK42-AK43+AK44</f>
        <v>0</v>
      </c>
      <c r="AL45" s="83"/>
      <c r="AM45" s="83"/>
      <c r="AN45" s="83"/>
    </row>
    <row r="46" spans="1:37" ht="17.25" customHeight="1">
      <c r="A46" s="68">
        <f t="shared" si="0"/>
        <v>14</v>
      </c>
      <c r="B46" s="14"/>
      <c r="C46" s="14" t="s">
        <v>7</v>
      </c>
      <c r="D46" s="14"/>
      <c r="E46" s="401"/>
      <c r="F46" s="14"/>
      <c r="G46" s="406"/>
      <c r="H46" s="14"/>
      <c r="I46" s="339"/>
      <c r="J46" s="326"/>
      <c r="K46" s="340"/>
      <c r="L46" s="326"/>
      <c r="M46" s="340"/>
      <c r="N46" s="326"/>
      <c r="O46" s="326"/>
      <c r="P46" s="326"/>
      <c r="Q46" s="469"/>
      <c r="S46" s="440"/>
      <c r="T46" s="340"/>
      <c r="U46" s="6"/>
      <c r="V46" s="340"/>
      <c r="W46" s="307"/>
      <c r="X46" s="494"/>
      <c r="Y46" s="6"/>
      <c r="Z46" s="340"/>
      <c r="AA46" s="6"/>
      <c r="AB46" s="340"/>
      <c r="AC46" s="6"/>
      <c r="AD46" s="494"/>
      <c r="AE46" s="6"/>
      <c r="AF46" s="340"/>
      <c r="AG46" s="6"/>
      <c r="AH46" s="340"/>
      <c r="AI46" s="6"/>
      <c r="AJ46" s="494"/>
      <c r="AK46" s="340"/>
    </row>
    <row r="47" spans="1:37" ht="15.75">
      <c r="A47" s="68"/>
      <c r="B47" s="14"/>
      <c r="C47" s="14" t="s">
        <v>21</v>
      </c>
      <c r="D47" s="14"/>
      <c r="E47" s="549" t="e">
        <f>+I47-Q47</f>
        <v>#REF!</v>
      </c>
      <c r="F47" s="14"/>
      <c r="G47" s="481">
        <f>+X47+MainSummary!G39</f>
        <v>1.34</v>
      </c>
      <c r="H47" s="14"/>
      <c r="I47" s="562">
        <f>+MainSummary!I39</f>
        <v>164.83</v>
      </c>
      <c r="J47" s="294"/>
      <c r="K47" s="571">
        <f>+AJ47+MainSummary!K39</f>
        <v>18.18</v>
      </c>
      <c r="L47" s="326"/>
      <c r="M47" s="571">
        <f>+MainSummary!M39</f>
        <v>237.12</v>
      </c>
      <c r="N47" s="302"/>
      <c r="O47" s="294"/>
      <c r="P47" s="326"/>
      <c r="Q47" s="465" t="e">
        <f>+MainSummary!#REF!</f>
        <v>#REF!</v>
      </c>
      <c r="S47" s="440"/>
      <c r="T47" s="130">
        <f>+AF47-Z47</f>
        <v>0</v>
      </c>
      <c r="U47" s="6"/>
      <c r="V47" s="130">
        <f>+AH47-AB47</f>
        <v>0</v>
      </c>
      <c r="W47" s="302"/>
      <c r="X47" s="491">
        <f>+T47+V47</f>
        <v>0</v>
      </c>
      <c r="Y47" s="6"/>
      <c r="Z47" s="130">
        <v>0</v>
      </c>
      <c r="AA47" s="6"/>
      <c r="AB47" s="503">
        <v>0</v>
      </c>
      <c r="AC47" s="6"/>
      <c r="AD47" s="491">
        <f>+Z47+AB47</f>
        <v>0</v>
      </c>
      <c r="AE47" s="6"/>
      <c r="AF47" s="130">
        <v>0</v>
      </c>
      <c r="AG47" s="6"/>
      <c r="AH47" s="130">
        <v>0</v>
      </c>
      <c r="AI47" s="6"/>
      <c r="AJ47" s="491">
        <f>+AF47+AH47</f>
        <v>0</v>
      </c>
      <c r="AK47" s="503">
        <v>0</v>
      </c>
    </row>
    <row r="48" spans="1:37" ht="17.25" customHeight="1">
      <c r="A48" s="68">
        <f>+A46+1</f>
        <v>15</v>
      </c>
      <c r="B48" s="14"/>
      <c r="C48" s="99" t="s">
        <v>270</v>
      </c>
      <c r="D48" s="99"/>
      <c r="E48" s="520" t="e">
        <f>+E45-E47</f>
        <v>#REF!</v>
      </c>
      <c r="F48" s="99"/>
      <c r="G48" s="414">
        <f>+G45-G47</f>
        <v>2371.109999999999</v>
      </c>
      <c r="H48" s="99"/>
      <c r="I48" s="544">
        <f>+I45-I47</f>
        <v>534.0799999999998</v>
      </c>
      <c r="J48" s="329"/>
      <c r="K48" s="327">
        <f>+K45-K47</f>
        <v>2785.52</v>
      </c>
      <c r="L48" s="336"/>
      <c r="M48" s="566">
        <f>+M45-M47</f>
        <v>1789.469999999998</v>
      </c>
      <c r="N48" s="328"/>
      <c r="O48" s="329"/>
      <c r="P48" s="336"/>
      <c r="Q48" s="463" t="e">
        <f>+Q45-Q47</f>
        <v>#REF!</v>
      </c>
      <c r="S48" s="440"/>
      <c r="T48" s="327">
        <f>+T45-T47</f>
        <v>125.9599999999999</v>
      </c>
      <c r="U48" s="6"/>
      <c r="V48" s="327">
        <f>+V45-V47</f>
        <v>-13.350000000000165</v>
      </c>
      <c r="W48" s="328"/>
      <c r="X48" s="486">
        <f>+X45-X47</f>
        <v>112.60999999999983</v>
      </c>
      <c r="Y48" s="6"/>
      <c r="Z48" s="327">
        <f>+Z45-Z47</f>
        <v>17.929999999999993</v>
      </c>
      <c r="AA48" s="6"/>
      <c r="AB48" s="502">
        <f>+AB45-AB47</f>
        <v>14.950000000000003</v>
      </c>
      <c r="AC48" s="6"/>
      <c r="AD48" s="486">
        <f>+AD45-AD47</f>
        <v>32.88000000000024</v>
      </c>
      <c r="AE48" s="6"/>
      <c r="AF48" s="327">
        <f>+AF45-AF47</f>
        <v>143.88999999999976</v>
      </c>
      <c r="AG48" s="6"/>
      <c r="AH48" s="327">
        <f>+AH45-AH47</f>
        <v>1.5999999999999517</v>
      </c>
      <c r="AI48" s="6"/>
      <c r="AJ48" s="486">
        <f>+AJ45-AJ47</f>
        <v>145.49000000000035</v>
      </c>
      <c r="AK48" s="502">
        <f>+AK45-AK47</f>
        <v>0</v>
      </c>
    </row>
    <row r="49" spans="1:37" ht="17.25" customHeight="1">
      <c r="A49" s="68">
        <f>+A48+1</f>
        <v>16</v>
      </c>
      <c r="B49" s="14"/>
      <c r="C49" s="14" t="s">
        <v>8</v>
      </c>
      <c r="D49" s="14"/>
      <c r="E49" s="401"/>
      <c r="F49" s="14"/>
      <c r="G49" s="406"/>
      <c r="H49" s="14"/>
      <c r="I49" s="330"/>
      <c r="J49" s="294"/>
      <c r="K49" s="331"/>
      <c r="L49" s="326"/>
      <c r="M49" s="331"/>
      <c r="N49" s="302"/>
      <c r="O49" s="294"/>
      <c r="P49" s="326"/>
      <c r="Q49" s="464"/>
      <c r="S49" s="440"/>
      <c r="T49" s="331"/>
      <c r="U49" s="6"/>
      <c r="V49" s="331"/>
      <c r="W49" s="302"/>
      <c r="X49" s="487"/>
      <c r="Y49" s="6"/>
      <c r="Z49" s="331"/>
      <c r="AA49" s="6"/>
      <c r="AB49" s="340"/>
      <c r="AC49" s="6"/>
      <c r="AD49" s="487"/>
      <c r="AE49" s="6"/>
      <c r="AF49" s="331"/>
      <c r="AG49" s="6"/>
      <c r="AH49" s="331"/>
      <c r="AI49" s="6"/>
      <c r="AJ49" s="487"/>
      <c r="AK49" s="340"/>
    </row>
    <row r="50" spans="1:37" ht="15.75">
      <c r="A50" s="68"/>
      <c r="B50" s="14"/>
      <c r="C50" s="14" t="s">
        <v>291</v>
      </c>
      <c r="D50" s="14"/>
      <c r="E50" s="135" t="e">
        <f>+I50-Q50</f>
        <v>#REF!</v>
      </c>
      <c r="F50" s="14"/>
      <c r="G50" s="481">
        <f>+X50+MainSummary!G42</f>
        <v>4.26</v>
      </c>
      <c r="H50" s="14"/>
      <c r="I50" s="330">
        <f>+MainSummary!I42</f>
        <v>2.3</v>
      </c>
      <c r="J50" s="294"/>
      <c r="K50" s="569">
        <f>+AJ50+MainSummary!K42</f>
        <v>7.26</v>
      </c>
      <c r="L50" s="326"/>
      <c r="M50" s="569">
        <f>+MainSummary!M42</f>
        <v>5.3</v>
      </c>
      <c r="N50" s="302"/>
      <c r="O50" s="294"/>
      <c r="P50" s="326"/>
      <c r="Q50" s="464" t="e">
        <f>+MainSummary!#REF!</f>
        <v>#REF!</v>
      </c>
      <c r="S50" s="440"/>
      <c r="T50" s="331">
        <f>+AF50-Z50</f>
        <v>0</v>
      </c>
      <c r="U50" s="6"/>
      <c r="V50" s="331">
        <f>+AH50-AB50</f>
        <v>0</v>
      </c>
      <c r="W50" s="302"/>
      <c r="X50" s="487">
        <f>+T50+V50</f>
        <v>0</v>
      </c>
      <c r="Y50" s="6"/>
      <c r="Z50" s="331">
        <v>0</v>
      </c>
      <c r="AA50" s="6"/>
      <c r="AB50" s="340">
        <v>0</v>
      </c>
      <c r="AC50" s="6"/>
      <c r="AD50" s="487">
        <f>+Z50+AB50</f>
        <v>0</v>
      </c>
      <c r="AE50" s="6"/>
      <c r="AF50" s="331">
        <v>0</v>
      </c>
      <c r="AG50" s="6"/>
      <c r="AH50" s="331">
        <v>0</v>
      </c>
      <c r="AI50" s="6"/>
      <c r="AJ50" s="487">
        <f>+AF50+AH50</f>
        <v>0</v>
      </c>
      <c r="AK50" s="340">
        <v>0</v>
      </c>
    </row>
    <row r="51" spans="1:37" ht="15.75">
      <c r="A51" s="68"/>
      <c r="B51" s="14"/>
      <c r="C51" s="14" t="s">
        <v>309</v>
      </c>
      <c r="D51" s="14"/>
      <c r="E51" s="135">
        <f>+MainSummary!E43</f>
        <v>16.25</v>
      </c>
      <c r="F51" s="14"/>
      <c r="G51" s="481">
        <f>+X51+MainSummary!G43</f>
        <v>13.75</v>
      </c>
      <c r="H51" s="14"/>
      <c r="I51" s="330">
        <f>+MainSummary!I43</f>
        <v>-15.3</v>
      </c>
      <c r="J51" s="294"/>
      <c r="K51" s="569">
        <f>+AJ51+MainSummary!K43</f>
        <v>30</v>
      </c>
      <c r="L51" s="326"/>
      <c r="M51" s="569">
        <f>+MainSummary!M43</f>
        <v>44.7</v>
      </c>
      <c r="N51" s="302"/>
      <c r="O51" s="294"/>
      <c r="P51" s="326"/>
      <c r="Q51" s="464"/>
      <c r="S51" s="440"/>
      <c r="T51" s="331"/>
      <c r="U51" s="6"/>
      <c r="V51" s="331"/>
      <c r="W51" s="302"/>
      <c r="X51" s="487"/>
      <c r="Y51" s="6"/>
      <c r="Z51" s="331"/>
      <c r="AA51" s="6"/>
      <c r="AB51" s="340"/>
      <c r="AC51" s="6"/>
      <c r="AD51" s="487"/>
      <c r="AE51" s="6"/>
      <c r="AF51" s="331"/>
      <c r="AG51" s="6"/>
      <c r="AH51" s="331"/>
      <c r="AI51" s="6"/>
      <c r="AJ51" s="487"/>
      <c r="AK51" s="340"/>
    </row>
    <row r="52" spans="1:37" ht="17.25" customHeight="1">
      <c r="A52" s="68"/>
      <c r="B52" s="14"/>
      <c r="C52" s="14" t="s">
        <v>308</v>
      </c>
      <c r="D52" s="14"/>
      <c r="E52" s="518" t="e">
        <f>+I52-Q52</f>
        <v>#REF!</v>
      </c>
      <c r="F52" s="14"/>
      <c r="G52" s="481">
        <f>+X52+MainSummary!G44</f>
        <v>-24.79</v>
      </c>
      <c r="H52" s="14"/>
      <c r="I52" s="562">
        <f>+MainSummary!I44</f>
        <v>253.43</v>
      </c>
      <c r="J52" s="294"/>
      <c r="K52" s="571">
        <f>+AJ52+MainSummary!K44</f>
        <v>108.21</v>
      </c>
      <c r="L52" s="326"/>
      <c r="M52" s="571">
        <f>+MainSummary!M44</f>
        <v>164.43</v>
      </c>
      <c r="N52" s="302"/>
      <c r="O52" s="294"/>
      <c r="P52" s="326"/>
      <c r="Q52" s="465" t="e">
        <f>+MainSummary!#REF!</f>
        <v>#REF!</v>
      </c>
      <c r="S52" s="440"/>
      <c r="T52" s="130">
        <f>+AF52-Z52</f>
        <v>0</v>
      </c>
      <c r="U52" s="6"/>
      <c r="V52" s="130">
        <f>+AH52-AB52</f>
        <v>0</v>
      </c>
      <c r="W52" s="302"/>
      <c r="X52" s="491">
        <f>+T52+V52</f>
        <v>0</v>
      </c>
      <c r="Y52" s="6"/>
      <c r="Z52" s="130">
        <v>0</v>
      </c>
      <c r="AA52" s="6"/>
      <c r="AB52" s="503">
        <v>0</v>
      </c>
      <c r="AC52" s="6"/>
      <c r="AD52" s="491">
        <f>+Z52+AB52</f>
        <v>0</v>
      </c>
      <c r="AE52" s="6"/>
      <c r="AF52" s="130">
        <v>0</v>
      </c>
      <c r="AG52" s="6"/>
      <c r="AH52" s="130">
        <v>0</v>
      </c>
      <c r="AI52" s="6"/>
      <c r="AJ52" s="491">
        <f>+AF52+AH52</f>
        <v>0</v>
      </c>
      <c r="AK52" s="503">
        <v>0</v>
      </c>
    </row>
    <row r="53" spans="1:37" ht="17.25" customHeight="1" thickBot="1">
      <c r="A53" s="68">
        <f>+A49+1</f>
        <v>17</v>
      </c>
      <c r="B53" s="14"/>
      <c r="C53" s="9" t="s">
        <v>305</v>
      </c>
      <c r="D53" s="9"/>
      <c r="E53" s="521" t="e">
        <f>+E48-E50-E52-E51</f>
        <v>#REF!</v>
      </c>
      <c r="F53" s="9"/>
      <c r="G53" s="415">
        <f>+G48-G50-G52-G51</f>
        <v>2377.889999999999</v>
      </c>
      <c r="H53" s="9"/>
      <c r="I53" s="521">
        <f>+I48-I50-I52-I51</f>
        <v>293.64999999999986</v>
      </c>
      <c r="J53" s="294"/>
      <c r="K53" s="415">
        <f>+K48-K50-K52-K51</f>
        <v>2640.0499999999997</v>
      </c>
      <c r="L53" s="326"/>
      <c r="M53" s="576">
        <f>+M48-M50-M52-M51</f>
        <v>1575.039999999998</v>
      </c>
      <c r="N53" s="328"/>
      <c r="O53" s="329"/>
      <c r="P53" s="326"/>
      <c r="Q53" s="470" t="e">
        <f>+Q48-Q50-Q52-Q51</f>
        <v>#REF!</v>
      </c>
      <c r="S53" s="440"/>
      <c r="T53" s="342">
        <f>+T48-T50-T52-T51</f>
        <v>125.9599999999999</v>
      </c>
      <c r="U53" s="6"/>
      <c r="V53" s="342">
        <f>+V48-V50-V52-V51</f>
        <v>-13.350000000000165</v>
      </c>
      <c r="W53" s="328"/>
      <c r="X53" s="495">
        <f>+X48-X50-X52-X51</f>
        <v>112.60999999999983</v>
      </c>
      <c r="Y53" s="6"/>
      <c r="Z53" s="342">
        <f>+Z48-Z50-Z52-Z51</f>
        <v>17.929999999999993</v>
      </c>
      <c r="AA53" s="6"/>
      <c r="AB53" s="507">
        <f>+AB48-AB50-AB52-AB51</f>
        <v>14.950000000000003</v>
      </c>
      <c r="AC53" s="6"/>
      <c r="AD53" s="495">
        <f>+AD48-AD50-AD52-AD51</f>
        <v>32.88000000000024</v>
      </c>
      <c r="AE53" s="6"/>
      <c r="AF53" s="342">
        <f>+AF48-AF50-AF52-AF51</f>
        <v>143.88999999999976</v>
      </c>
      <c r="AG53" s="6"/>
      <c r="AH53" s="342">
        <f>+AH48-AH50-AH52-AH51</f>
        <v>1.5999999999999517</v>
      </c>
      <c r="AI53" s="6"/>
      <c r="AJ53" s="495">
        <f>+AJ48-AJ50-AJ52-AJ51</f>
        <v>145.49000000000035</v>
      </c>
      <c r="AK53" s="507">
        <f>+AK48-AK50-AK52-AK51</f>
        <v>0</v>
      </c>
    </row>
    <row r="54" spans="1:37" ht="6" customHeight="1" thickTop="1">
      <c r="A54" s="68"/>
      <c r="B54" s="14"/>
      <c r="C54" s="9"/>
      <c r="D54" s="9"/>
      <c r="E54" s="400"/>
      <c r="F54" s="9"/>
      <c r="G54" s="407"/>
      <c r="H54" s="9"/>
      <c r="I54" s="325"/>
      <c r="J54" s="294"/>
      <c r="K54" s="327"/>
      <c r="L54" s="326"/>
      <c r="M54" s="566"/>
      <c r="N54" s="328"/>
      <c r="O54" s="329"/>
      <c r="P54" s="326"/>
      <c r="Q54" s="463"/>
      <c r="S54" s="440"/>
      <c r="T54" s="327"/>
      <c r="U54" s="6"/>
      <c r="V54" s="327"/>
      <c r="W54" s="328"/>
      <c r="X54" s="486"/>
      <c r="Y54" s="6"/>
      <c r="Z54" s="327"/>
      <c r="AA54" s="6"/>
      <c r="AB54" s="502"/>
      <c r="AC54" s="6"/>
      <c r="AD54" s="486"/>
      <c r="AE54" s="6"/>
      <c r="AF54" s="327"/>
      <c r="AG54" s="6"/>
      <c r="AH54" s="327"/>
      <c r="AI54" s="6"/>
      <c r="AJ54" s="486"/>
      <c r="AK54" s="502"/>
    </row>
    <row r="55" spans="1:37" ht="17.25" customHeight="1">
      <c r="A55" s="69">
        <f>+A53+1</f>
        <v>18</v>
      </c>
      <c r="B55" s="14"/>
      <c r="C55" s="101" t="s">
        <v>24</v>
      </c>
      <c r="D55" s="101"/>
      <c r="E55" s="417">
        <v>1245.34</v>
      </c>
      <c r="F55" s="101"/>
      <c r="G55" s="416">
        <v>1245.34</v>
      </c>
      <c r="H55" s="101"/>
      <c r="I55" s="578">
        <v>1245.34</v>
      </c>
      <c r="J55" s="118"/>
      <c r="K55" s="577">
        <v>1245.34</v>
      </c>
      <c r="L55" s="117"/>
      <c r="M55" s="577">
        <v>1245.34</v>
      </c>
      <c r="N55" s="118"/>
      <c r="O55" s="128"/>
      <c r="P55" s="117"/>
      <c r="Q55" s="463">
        <v>1245.34</v>
      </c>
      <c r="S55" s="440"/>
      <c r="T55" s="134"/>
      <c r="U55" s="6"/>
      <c r="V55" s="134"/>
      <c r="W55" s="118"/>
      <c r="X55" s="486"/>
      <c r="Y55" s="6"/>
      <c r="Z55" s="134"/>
      <c r="AA55" s="6"/>
      <c r="AB55" s="508"/>
      <c r="AC55" s="6"/>
      <c r="AD55" s="486"/>
      <c r="AE55" s="6"/>
      <c r="AF55" s="134"/>
      <c r="AG55" s="6"/>
      <c r="AH55" s="134"/>
      <c r="AI55" s="6"/>
      <c r="AJ55" s="486"/>
      <c r="AK55" s="508"/>
    </row>
    <row r="56" spans="1:37" ht="17.25" customHeight="1">
      <c r="A56" s="68"/>
      <c r="B56" s="14"/>
      <c r="C56" s="19" t="s">
        <v>16</v>
      </c>
      <c r="D56" s="19"/>
      <c r="E56" s="404"/>
      <c r="F56" s="19"/>
      <c r="G56" s="408"/>
      <c r="H56" s="19"/>
      <c r="I56" s="135"/>
      <c r="J56" s="121"/>
      <c r="K56" s="136"/>
      <c r="L56" s="117"/>
      <c r="M56" s="136"/>
      <c r="N56" s="121"/>
      <c r="O56" s="115"/>
      <c r="P56" s="117"/>
      <c r="Q56" s="464"/>
      <c r="S56" s="440"/>
      <c r="T56" s="136"/>
      <c r="U56" s="6"/>
      <c r="V56" s="136"/>
      <c r="W56" s="121"/>
      <c r="X56" s="487"/>
      <c r="Y56" s="6"/>
      <c r="Z56" s="136"/>
      <c r="AA56" s="6"/>
      <c r="AB56" s="127"/>
      <c r="AC56" s="6"/>
      <c r="AD56" s="487"/>
      <c r="AE56" s="6"/>
      <c r="AF56" s="136"/>
      <c r="AG56" s="6"/>
      <c r="AH56" s="136"/>
      <c r="AI56" s="6"/>
      <c r="AJ56" s="487"/>
      <c r="AK56" s="136"/>
    </row>
    <row r="57" spans="1:37" ht="17.25" customHeight="1">
      <c r="A57" s="69">
        <f>+A55+1</f>
        <v>19</v>
      </c>
      <c r="B57" s="14"/>
      <c r="C57" s="101" t="s">
        <v>1</v>
      </c>
      <c r="D57" s="101"/>
      <c r="E57" s="403"/>
      <c r="F57" s="101"/>
      <c r="G57" s="409"/>
      <c r="H57" s="101"/>
      <c r="I57" s="126"/>
      <c r="J57" s="117"/>
      <c r="K57" s="127"/>
      <c r="L57" s="117"/>
      <c r="M57" s="579">
        <v>17274.59</v>
      </c>
      <c r="N57" s="118"/>
      <c r="O57" s="295"/>
      <c r="P57" s="117"/>
      <c r="Q57" s="471"/>
      <c r="S57" s="440"/>
      <c r="T57" s="137"/>
      <c r="U57" s="6"/>
      <c r="V57" s="137"/>
      <c r="W57" s="296"/>
      <c r="X57" s="496"/>
      <c r="Y57" s="6"/>
      <c r="Z57" s="137"/>
      <c r="AA57" s="6"/>
      <c r="AB57" s="509"/>
      <c r="AC57" s="6"/>
      <c r="AD57" s="496"/>
      <c r="AE57" s="6"/>
      <c r="AF57" s="137"/>
      <c r="AG57" s="6"/>
      <c r="AH57" s="137"/>
      <c r="AI57" s="6"/>
      <c r="AJ57" s="496"/>
      <c r="AK57" s="137"/>
    </row>
    <row r="58" spans="1:37" ht="17.25" customHeight="1">
      <c r="A58" s="69">
        <f>+A57+1</f>
        <v>20</v>
      </c>
      <c r="B58" s="32"/>
      <c r="C58" s="70" t="s">
        <v>25</v>
      </c>
      <c r="D58" s="70"/>
      <c r="E58" s="77" t="e">
        <f>+E53/E55*10</f>
        <v>#REF!</v>
      </c>
      <c r="F58" s="70"/>
      <c r="G58" s="79">
        <f>+G53/G55*10</f>
        <v>19.094303563685415</v>
      </c>
      <c r="H58" s="70"/>
      <c r="I58" s="77">
        <f>+I53/I55*10</f>
        <v>2.357990588915476</v>
      </c>
      <c r="J58" s="70"/>
      <c r="K58" s="79">
        <f>+K53/K55*10</f>
        <v>21.199431480559525</v>
      </c>
      <c r="L58" s="70"/>
      <c r="M58" s="79">
        <f>+M53/M55*10</f>
        <v>12.64746976729245</v>
      </c>
      <c r="N58" s="70"/>
      <c r="O58" s="70"/>
      <c r="P58" s="70"/>
      <c r="Q58" s="472" t="e">
        <f>+Q53/Q55*10</f>
        <v>#REF!</v>
      </c>
      <c r="S58" s="440"/>
      <c r="T58" s="79"/>
      <c r="U58" s="6"/>
      <c r="V58" s="79"/>
      <c r="W58" s="219"/>
      <c r="X58" s="497"/>
      <c r="Y58" s="6"/>
      <c r="Z58" s="79"/>
      <c r="AA58" s="6"/>
      <c r="AB58" s="510"/>
      <c r="AC58" s="6"/>
      <c r="AD58" s="497"/>
      <c r="AE58" s="6"/>
      <c r="AF58" s="79"/>
      <c r="AG58" s="6"/>
      <c r="AH58" s="79"/>
      <c r="AI58" s="6"/>
      <c r="AJ58" s="497"/>
      <c r="AK58" s="79"/>
    </row>
    <row r="59" spans="1:37" ht="23.25" customHeight="1">
      <c r="A59" s="69"/>
      <c r="B59" s="32"/>
      <c r="C59" s="70" t="s">
        <v>26</v>
      </c>
      <c r="D59" s="70"/>
      <c r="E59" s="78" t="s">
        <v>176</v>
      </c>
      <c r="F59" s="70"/>
      <c r="G59" s="80" t="s">
        <v>176</v>
      </c>
      <c r="H59" s="70"/>
      <c r="I59" s="78" t="s">
        <v>227</v>
      </c>
      <c r="J59" s="32"/>
      <c r="K59" s="80" t="s">
        <v>73</v>
      </c>
      <c r="L59" s="71"/>
      <c r="M59" s="80" t="s">
        <v>193</v>
      </c>
      <c r="N59" s="32"/>
      <c r="O59" s="297"/>
      <c r="P59" s="32"/>
      <c r="Q59" s="473" t="s">
        <v>176</v>
      </c>
      <c r="S59" s="440"/>
      <c r="T59" s="80"/>
      <c r="U59" s="6"/>
      <c r="V59" s="80"/>
      <c r="W59" s="224"/>
      <c r="X59" s="498"/>
      <c r="Y59" s="6"/>
      <c r="Z59" s="80"/>
      <c r="AA59" s="6"/>
      <c r="AB59" s="511"/>
      <c r="AC59" s="6"/>
      <c r="AD59" s="498"/>
      <c r="AE59" s="6"/>
      <c r="AF59" s="80"/>
      <c r="AG59" s="6"/>
      <c r="AH59" s="80"/>
      <c r="AI59" s="6"/>
      <c r="AJ59" s="498"/>
      <c r="AK59" s="80"/>
    </row>
    <row r="60" spans="1:37" ht="18" customHeight="1">
      <c r="A60" s="69">
        <f>+A58+1</f>
        <v>21</v>
      </c>
      <c r="B60" s="32"/>
      <c r="C60" s="70" t="s">
        <v>27</v>
      </c>
      <c r="D60" s="70"/>
      <c r="E60" s="77"/>
      <c r="F60" s="70"/>
      <c r="G60" s="79"/>
      <c r="H60" s="70"/>
      <c r="I60" s="78"/>
      <c r="J60" s="32"/>
      <c r="K60" s="80"/>
      <c r="L60" s="71"/>
      <c r="M60" s="80"/>
      <c r="N60" s="32"/>
      <c r="O60" s="298"/>
      <c r="P60" s="32"/>
      <c r="Q60" s="473"/>
      <c r="S60" s="440"/>
      <c r="T60" s="80"/>
      <c r="U60" s="6"/>
      <c r="V60" s="80"/>
      <c r="W60" s="224"/>
      <c r="X60" s="498"/>
      <c r="Y60" s="6"/>
      <c r="Z60" s="80"/>
      <c r="AA60" s="6"/>
      <c r="AB60" s="511"/>
      <c r="AC60" s="6"/>
      <c r="AD60" s="498"/>
      <c r="AE60" s="6"/>
      <c r="AF60" s="80"/>
      <c r="AG60" s="6"/>
      <c r="AH60" s="80"/>
      <c r="AI60" s="6"/>
      <c r="AJ60" s="498"/>
      <c r="AK60" s="80"/>
    </row>
    <row r="61" spans="1:37" ht="20.25" customHeight="1">
      <c r="A61" s="69"/>
      <c r="B61" s="32"/>
      <c r="C61" s="70" t="s">
        <v>28</v>
      </c>
      <c r="D61" s="70"/>
      <c r="E61" s="180">
        <v>3272841</v>
      </c>
      <c r="F61" s="70"/>
      <c r="G61" s="179">
        <v>3525506</v>
      </c>
      <c r="H61" s="70"/>
      <c r="I61" s="180">
        <f>+MainSummary!I53</f>
        <v>3422706</v>
      </c>
      <c r="J61" s="72"/>
      <c r="K61" s="179">
        <v>3525506</v>
      </c>
      <c r="L61" s="72"/>
      <c r="M61" s="179">
        <v>3422706</v>
      </c>
      <c r="N61" s="72"/>
      <c r="O61" s="299"/>
      <c r="P61" s="73"/>
      <c r="Q61" s="474" t="e">
        <f>+MainSummary!#REF!</f>
        <v>#REF!</v>
      </c>
      <c r="S61" s="440"/>
      <c r="T61" s="179"/>
      <c r="U61" s="6"/>
      <c r="V61" s="179"/>
      <c r="W61" s="300"/>
      <c r="X61" s="499"/>
      <c r="Y61" s="6"/>
      <c r="Z61" s="179"/>
      <c r="AA61" s="6"/>
      <c r="AB61" s="512"/>
      <c r="AC61" s="6"/>
      <c r="AD61" s="499"/>
      <c r="AE61" s="6"/>
      <c r="AF61" s="179"/>
      <c r="AG61" s="6"/>
      <c r="AH61" s="179"/>
      <c r="AI61" s="6"/>
      <c r="AJ61" s="499"/>
      <c r="AK61" s="179"/>
    </row>
    <row r="62" spans="1:37" ht="20.25" customHeight="1" thickBot="1">
      <c r="A62" s="74"/>
      <c r="B62" s="75"/>
      <c r="C62" s="102" t="s">
        <v>29</v>
      </c>
      <c r="D62" s="102"/>
      <c r="E62" s="86">
        <f>+E61/12453402</f>
        <v>0.2628069823811999</v>
      </c>
      <c r="F62" s="102"/>
      <c r="G62" s="82">
        <f>+G61/12453402</f>
        <v>0.2830958159063684</v>
      </c>
      <c r="H62" s="102"/>
      <c r="I62" s="86">
        <f>+I61/12453402</f>
        <v>0.2748410434353601</v>
      </c>
      <c r="J62" s="75"/>
      <c r="K62" s="82">
        <f>+K61/12453402</f>
        <v>0.2830958159063684</v>
      </c>
      <c r="L62" s="76"/>
      <c r="M62" s="82">
        <f>+M61/12453402</f>
        <v>0.2748410434353601</v>
      </c>
      <c r="N62" s="349"/>
      <c r="O62" s="301"/>
      <c r="P62" s="32"/>
      <c r="Q62" s="475" t="e">
        <f>+Q61/12453402</f>
        <v>#REF!</v>
      </c>
      <c r="S62" s="440"/>
      <c r="T62" s="82"/>
      <c r="U62" s="6"/>
      <c r="V62" s="82"/>
      <c r="W62" s="54"/>
      <c r="X62" s="500"/>
      <c r="Y62" s="6"/>
      <c r="Z62" s="82"/>
      <c r="AA62" s="6"/>
      <c r="AB62" s="513"/>
      <c r="AC62" s="6"/>
      <c r="AD62" s="500"/>
      <c r="AE62" s="6"/>
      <c r="AF62" s="82"/>
      <c r="AG62" s="6"/>
      <c r="AH62" s="82"/>
      <c r="AI62" s="6"/>
      <c r="AJ62" s="500"/>
      <c r="AK62" s="82"/>
    </row>
    <row r="63" spans="1:37" ht="6" customHeight="1">
      <c r="A63" s="23"/>
      <c r="C63" s="26"/>
      <c r="D63" s="26"/>
      <c r="E63" s="26"/>
      <c r="F63" s="26"/>
      <c r="G63" s="26"/>
      <c r="H63" s="26"/>
      <c r="I63" s="37"/>
      <c r="K63" s="36"/>
      <c r="L63" s="11"/>
      <c r="M63" s="36"/>
      <c r="O63" s="301"/>
      <c r="P63" s="32"/>
      <c r="Q63" s="301"/>
      <c r="S63" s="440"/>
      <c r="T63" s="301"/>
      <c r="V63" s="301"/>
      <c r="W63" s="301"/>
      <c r="X63" s="301"/>
      <c r="Z63" s="301"/>
      <c r="AB63" s="301"/>
      <c r="AD63" s="301"/>
      <c r="AF63" s="301"/>
      <c r="AH63" s="301"/>
      <c r="AJ63" s="301"/>
      <c r="AK63" s="301"/>
    </row>
    <row r="64" spans="1:36" ht="15.75" hidden="1">
      <c r="A64" s="280" t="s">
        <v>152</v>
      </c>
      <c r="C64" s="26"/>
      <c r="D64" s="26"/>
      <c r="E64" s="26"/>
      <c r="F64" s="26"/>
      <c r="G64" s="26"/>
      <c r="H64" s="26"/>
      <c r="I64" s="37"/>
      <c r="K64" s="36"/>
      <c r="L64" s="11"/>
      <c r="M64" s="36"/>
      <c r="O64" s="37"/>
      <c r="P64" s="32"/>
      <c r="Q64" s="37"/>
      <c r="S64" s="440"/>
      <c r="T64" s="37"/>
      <c r="V64" s="37"/>
      <c r="W64" s="37"/>
      <c r="X64" s="37"/>
      <c r="Z64" s="37"/>
      <c r="AB64" s="37"/>
      <c r="AD64" s="37"/>
      <c r="AF64" s="37"/>
      <c r="AH64" s="37"/>
      <c r="AJ64" s="37"/>
    </row>
    <row r="65" spans="1:36" ht="15.75" hidden="1">
      <c r="A65" s="23"/>
      <c r="C65" s="281" t="s">
        <v>228</v>
      </c>
      <c r="D65" s="26"/>
      <c r="E65" s="26"/>
      <c r="F65" s="26"/>
      <c r="G65" s="26"/>
      <c r="H65" s="26"/>
      <c r="I65" s="26"/>
      <c r="K65" s="37"/>
      <c r="M65" s="36"/>
      <c r="N65" s="11"/>
      <c r="O65" s="36"/>
      <c r="Q65" s="36"/>
      <c r="S65" s="440"/>
      <c r="T65" s="36"/>
      <c r="V65" s="36"/>
      <c r="W65" s="36"/>
      <c r="X65" s="36"/>
      <c r="Z65" s="36"/>
      <c r="AB65" s="36"/>
      <c r="AD65" s="36"/>
      <c r="AF65" s="36"/>
      <c r="AH65" s="36"/>
      <c r="AJ65" s="36"/>
    </row>
    <row r="66" spans="1:36" ht="15.75" hidden="1">
      <c r="A66" s="23"/>
      <c r="C66" s="281" t="s">
        <v>179</v>
      </c>
      <c r="D66" s="26"/>
      <c r="E66" s="26"/>
      <c r="F66" s="26"/>
      <c r="G66" s="26"/>
      <c r="H66" s="26"/>
      <c r="I66" s="26"/>
      <c r="K66" s="37"/>
      <c r="M66" s="36"/>
      <c r="N66" s="11"/>
      <c r="O66" s="36"/>
      <c r="Q66" s="36"/>
      <c r="S66" s="440"/>
      <c r="T66" s="36"/>
      <c r="V66" s="36"/>
      <c r="W66" s="36"/>
      <c r="X66" s="36"/>
      <c r="Z66" s="36"/>
      <c r="AB66" s="36"/>
      <c r="AD66" s="36"/>
      <c r="AF66" s="36"/>
      <c r="AH66" s="36"/>
      <c r="AJ66" s="36"/>
    </row>
    <row r="67" spans="1:36" ht="15.75" hidden="1">
      <c r="A67" s="23"/>
      <c r="C67" s="281" t="s">
        <v>197</v>
      </c>
      <c r="D67" s="26"/>
      <c r="E67" s="26"/>
      <c r="F67" s="26"/>
      <c r="G67" s="26"/>
      <c r="H67" s="26"/>
      <c r="I67" s="26"/>
      <c r="K67" s="37"/>
      <c r="M67" s="36"/>
      <c r="N67" s="11"/>
      <c r="O67" s="36"/>
      <c r="Q67" s="36"/>
      <c r="S67" s="440"/>
      <c r="T67" s="36"/>
      <c r="V67" s="36"/>
      <c r="W67" s="36"/>
      <c r="X67" s="36"/>
      <c r="Z67" s="36"/>
      <c r="AB67" s="36"/>
      <c r="AD67" s="36"/>
      <c r="AF67" s="36"/>
      <c r="AH67" s="36"/>
      <c r="AJ67" s="36"/>
    </row>
    <row r="68" spans="1:19" ht="15.75" hidden="1">
      <c r="A68" s="23"/>
      <c r="C68" s="281" t="s">
        <v>229</v>
      </c>
      <c r="D68" s="26"/>
      <c r="E68" s="26"/>
      <c r="F68" s="26"/>
      <c r="G68" s="26"/>
      <c r="H68" s="26"/>
      <c r="I68" s="26"/>
      <c r="K68" s="37"/>
      <c r="M68" s="36"/>
      <c r="N68" s="11"/>
      <c r="O68" s="37"/>
      <c r="S68" s="440"/>
    </row>
    <row r="69" spans="1:19" ht="15.75">
      <c r="A69" s="23"/>
      <c r="K69" s="40"/>
      <c r="M69" s="108" t="s">
        <v>38</v>
      </c>
      <c r="N69" s="11"/>
      <c r="O69" s="40"/>
      <c r="S69" s="440"/>
    </row>
    <row r="70" spans="1:36" ht="3.75" customHeight="1">
      <c r="A70" s="23"/>
      <c r="K70" s="40"/>
      <c r="M70" s="41"/>
      <c r="N70" s="11"/>
      <c r="O70" s="40"/>
      <c r="Q70" s="26"/>
      <c r="S70" s="440"/>
      <c r="T70" s="26"/>
      <c r="V70" s="26"/>
      <c r="W70" s="26"/>
      <c r="X70" s="26"/>
      <c r="Z70" s="26"/>
      <c r="AB70" s="26"/>
      <c r="AD70" s="26"/>
      <c r="AF70" s="26"/>
      <c r="AH70" s="26"/>
      <c r="AJ70" s="26"/>
    </row>
    <row r="71" spans="1:36" ht="15" customHeight="1">
      <c r="A71" s="138" t="s">
        <v>39</v>
      </c>
      <c r="B71" s="138"/>
      <c r="C71" s="138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441"/>
      <c r="T71" s="138"/>
      <c r="V71" s="138"/>
      <c r="W71" s="138"/>
      <c r="X71" s="138"/>
      <c r="Z71" s="138"/>
      <c r="AB71" s="138"/>
      <c r="AD71" s="138"/>
      <c r="AF71" s="138"/>
      <c r="AH71" s="138"/>
      <c r="AJ71" s="138"/>
    </row>
    <row r="72" spans="1:36" ht="15" customHeight="1">
      <c r="A72" s="138" t="s">
        <v>40</v>
      </c>
      <c r="B72" s="138"/>
      <c r="C72" s="138"/>
      <c r="D72" s="138"/>
      <c r="E72" s="138"/>
      <c r="F72" s="138"/>
      <c r="G72" s="138"/>
      <c r="H72" s="138"/>
      <c r="I72" s="138"/>
      <c r="J72" s="138"/>
      <c r="K72" s="138"/>
      <c r="L72" s="138"/>
      <c r="M72" s="147" t="s">
        <v>83</v>
      </c>
      <c r="N72" s="138"/>
      <c r="O72" s="141"/>
      <c r="P72" s="141"/>
      <c r="Q72" s="32"/>
      <c r="R72" s="141"/>
      <c r="S72" s="442"/>
      <c r="T72" s="32"/>
      <c r="V72" s="32"/>
      <c r="W72" s="32"/>
      <c r="X72" s="32"/>
      <c r="Z72" s="32"/>
      <c r="AB72" s="32"/>
      <c r="AD72" s="32"/>
      <c r="AF72" s="32"/>
      <c r="AH72" s="32"/>
      <c r="AJ72" s="32"/>
    </row>
    <row r="73" spans="1:36" ht="15" customHeight="1" thickBot="1">
      <c r="A73" s="138"/>
      <c r="B73" s="138"/>
      <c r="C73" s="138"/>
      <c r="D73" s="138"/>
      <c r="E73" s="138"/>
      <c r="F73" s="138"/>
      <c r="G73" s="138"/>
      <c r="H73" s="138"/>
      <c r="I73" s="138"/>
      <c r="J73" s="138"/>
      <c r="K73" s="138"/>
      <c r="L73" s="138"/>
      <c r="M73" s="138"/>
      <c r="N73" s="138"/>
      <c r="O73" s="141"/>
      <c r="P73" s="141"/>
      <c r="Q73" s="32"/>
      <c r="R73" s="141"/>
      <c r="S73" s="442"/>
      <c r="T73" s="32"/>
      <c r="V73" s="32"/>
      <c r="W73" s="32"/>
      <c r="X73" s="32"/>
      <c r="Z73" s="32"/>
      <c r="AB73" s="32"/>
      <c r="AD73" s="32"/>
      <c r="AF73" s="32"/>
      <c r="AH73" s="32"/>
      <c r="AJ73" s="32"/>
    </row>
    <row r="74" spans="1:36" ht="15" customHeight="1">
      <c r="A74" s="139"/>
      <c r="B74" s="139"/>
      <c r="C74" s="139"/>
      <c r="D74" s="139"/>
      <c r="E74" s="63">
        <v>-1</v>
      </c>
      <c r="F74" s="139"/>
      <c r="G74" s="104">
        <v>-2</v>
      </c>
      <c r="H74" s="139"/>
      <c r="I74" s="63">
        <v>-3</v>
      </c>
      <c r="J74" s="57"/>
      <c r="K74" s="104">
        <v>-4</v>
      </c>
      <c r="L74" s="57"/>
      <c r="M74" s="104">
        <v>-5</v>
      </c>
      <c r="N74" s="95"/>
      <c r="O74" s="95"/>
      <c r="P74" s="95"/>
      <c r="Q74" s="458">
        <v>-5</v>
      </c>
      <c r="R74" s="140"/>
      <c r="S74" s="443"/>
      <c r="T74" s="95"/>
      <c r="U74" s="32"/>
      <c r="V74" s="95"/>
      <c r="W74" s="95"/>
      <c r="X74" s="457"/>
      <c r="Y74" s="32"/>
      <c r="Z74" s="95"/>
      <c r="AA74" s="32"/>
      <c r="AB74" s="95"/>
      <c r="AC74" s="32"/>
      <c r="AD74" s="457"/>
      <c r="AE74" s="32"/>
      <c r="AF74" s="95"/>
      <c r="AG74" s="32"/>
      <c r="AH74" s="95"/>
      <c r="AI74" s="32"/>
      <c r="AJ74" s="457"/>
    </row>
    <row r="75" spans="1:36" ht="15" customHeight="1">
      <c r="A75" s="139"/>
      <c r="B75" s="139"/>
      <c r="C75" s="139"/>
      <c r="D75" s="139"/>
      <c r="E75" s="272"/>
      <c r="F75" s="139"/>
      <c r="G75" s="272"/>
      <c r="H75" s="139"/>
      <c r="I75" s="272"/>
      <c r="J75" s="95"/>
      <c r="K75" s="273"/>
      <c r="L75" s="95"/>
      <c r="M75" s="273"/>
      <c r="N75" s="95"/>
      <c r="O75" s="95"/>
      <c r="P75" s="95"/>
      <c r="Q75" s="476"/>
      <c r="R75" s="140"/>
      <c r="S75" s="443"/>
      <c r="T75" s="95"/>
      <c r="U75" s="32"/>
      <c r="V75" s="95"/>
      <c r="W75" s="95"/>
      <c r="X75" s="457"/>
      <c r="Y75" s="32"/>
      <c r="Z75" s="95"/>
      <c r="AA75" s="32"/>
      <c r="AB75" s="95"/>
      <c r="AC75" s="32"/>
      <c r="AD75" s="457"/>
      <c r="AE75" s="32"/>
      <c r="AF75" s="95"/>
      <c r="AG75" s="32"/>
      <c r="AH75" s="95"/>
      <c r="AI75" s="32"/>
      <c r="AJ75" s="457"/>
    </row>
    <row r="76" spans="1:36" ht="15" customHeight="1" thickBot="1">
      <c r="A76" s="139"/>
      <c r="B76" s="139"/>
      <c r="C76" s="139"/>
      <c r="D76" s="139"/>
      <c r="E76" s="311" t="s">
        <v>175</v>
      </c>
      <c r="F76" s="59"/>
      <c r="G76" s="314" t="s">
        <v>175</v>
      </c>
      <c r="H76" s="59"/>
      <c r="I76" s="311" t="s">
        <v>225</v>
      </c>
      <c r="J76" s="312"/>
      <c r="K76" s="314" t="s">
        <v>225</v>
      </c>
      <c r="L76" s="60"/>
      <c r="M76" s="314" t="s">
        <v>2</v>
      </c>
      <c r="N76" s="315"/>
      <c r="O76" s="316"/>
      <c r="P76" s="315"/>
      <c r="Q76" s="460" t="s">
        <v>232</v>
      </c>
      <c r="R76" s="140"/>
      <c r="S76" s="443"/>
      <c r="T76" s="316"/>
      <c r="U76" s="32"/>
      <c r="V76" s="316"/>
      <c r="W76" s="316"/>
      <c r="X76" s="316"/>
      <c r="Y76" s="32"/>
      <c r="Z76" s="316"/>
      <c r="AA76" s="32"/>
      <c r="AB76" s="316"/>
      <c r="AC76" s="32"/>
      <c r="AD76" s="316"/>
      <c r="AE76" s="32"/>
      <c r="AF76" s="316"/>
      <c r="AG76" s="32"/>
      <c r="AH76" s="316"/>
      <c r="AI76" s="32"/>
      <c r="AJ76" s="316"/>
    </row>
    <row r="77" spans="1:36" ht="15" customHeight="1" thickBot="1">
      <c r="A77" s="139"/>
      <c r="B77" s="139"/>
      <c r="C77" s="139"/>
      <c r="D77" s="139"/>
      <c r="E77" s="311" t="s">
        <v>5</v>
      </c>
      <c r="F77" s="14"/>
      <c r="G77" s="314" t="s">
        <v>5</v>
      </c>
      <c r="H77" s="14"/>
      <c r="I77" s="311" t="s">
        <v>5</v>
      </c>
      <c r="J77" s="315"/>
      <c r="K77" s="314" t="s">
        <v>5</v>
      </c>
      <c r="L77" s="60"/>
      <c r="M77" s="314" t="s">
        <v>5</v>
      </c>
      <c r="N77" s="315"/>
      <c r="O77" s="316"/>
      <c r="P77" s="315"/>
      <c r="Q77" s="460" t="s">
        <v>5</v>
      </c>
      <c r="R77" s="140"/>
      <c r="S77" s="443"/>
      <c r="T77" s="945" t="s">
        <v>234</v>
      </c>
      <c r="U77" s="946"/>
      <c r="V77" s="946"/>
      <c r="W77" s="946"/>
      <c r="X77" s="947"/>
      <c r="Z77" s="945" t="s">
        <v>235</v>
      </c>
      <c r="AA77" s="946"/>
      <c r="AB77" s="946"/>
      <c r="AC77" s="946"/>
      <c r="AD77" s="947"/>
      <c r="AF77" s="945" t="s">
        <v>236</v>
      </c>
      <c r="AG77" s="946"/>
      <c r="AH77" s="946"/>
      <c r="AI77" s="946"/>
      <c r="AJ77" s="947"/>
    </row>
    <row r="78" spans="1:36" ht="15" customHeight="1">
      <c r="A78" s="139"/>
      <c r="B78" s="139"/>
      <c r="C78" s="139"/>
      <c r="D78" s="139"/>
      <c r="E78" s="311" t="s">
        <v>224</v>
      </c>
      <c r="F78" s="14"/>
      <c r="G78" s="314" t="s">
        <v>79</v>
      </c>
      <c r="H78" s="14"/>
      <c r="I78" s="311" t="s">
        <v>224</v>
      </c>
      <c r="J78" s="315"/>
      <c r="K78" s="314" t="s">
        <v>79</v>
      </c>
      <c r="L78" s="60"/>
      <c r="M78" s="66" t="s">
        <v>155</v>
      </c>
      <c r="N78" s="21"/>
      <c r="O78" s="275"/>
      <c r="P78" s="21"/>
      <c r="Q78" s="460" t="s">
        <v>233</v>
      </c>
      <c r="R78" s="140"/>
      <c r="S78" s="443"/>
      <c r="T78" s="453" t="s">
        <v>164</v>
      </c>
      <c r="U78" s="32"/>
      <c r="V78" s="454" t="s">
        <v>165</v>
      </c>
      <c r="W78" s="95"/>
      <c r="X78" s="445" t="s">
        <v>86</v>
      </c>
      <c r="Z78" s="453" t="s">
        <v>164</v>
      </c>
      <c r="AA78" s="32"/>
      <c r="AB78" s="454" t="s">
        <v>165</v>
      </c>
      <c r="AC78" s="95"/>
      <c r="AD78" s="445" t="s">
        <v>86</v>
      </c>
      <c r="AF78" s="453" t="s">
        <v>164</v>
      </c>
      <c r="AG78" s="32"/>
      <c r="AH78" s="454" t="s">
        <v>165</v>
      </c>
      <c r="AI78" s="95"/>
      <c r="AJ78" s="445" t="s">
        <v>86</v>
      </c>
    </row>
    <row r="79" spans="1:36" ht="15" customHeight="1" thickBot="1">
      <c r="A79" s="139"/>
      <c r="B79" s="139"/>
      <c r="C79" s="139"/>
      <c r="D79" s="139"/>
      <c r="E79" s="317" t="s">
        <v>156</v>
      </c>
      <c r="F79" s="97"/>
      <c r="G79" s="319" t="s">
        <v>156</v>
      </c>
      <c r="H79" s="97"/>
      <c r="I79" s="317" t="s">
        <v>156</v>
      </c>
      <c r="J79" s="145"/>
      <c r="K79" s="319" t="s">
        <v>156</v>
      </c>
      <c r="L79" s="75"/>
      <c r="M79" s="94" t="s">
        <v>6</v>
      </c>
      <c r="N79" s="350"/>
      <c r="O79" s="288"/>
      <c r="P79" s="14"/>
      <c r="Q79" s="461" t="s">
        <v>156</v>
      </c>
      <c r="R79" s="140"/>
      <c r="S79" s="443"/>
      <c r="T79" s="455" t="s">
        <v>156</v>
      </c>
      <c r="U79" s="75"/>
      <c r="V79" s="456" t="s">
        <v>156</v>
      </c>
      <c r="W79" s="439"/>
      <c r="X79" s="446" t="s">
        <v>156</v>
      </c>
      <c r="Z79" s="455" t="s">
        <v>156</v>
      </c>
      <c r="AA79" s="75"/>
      <c r="AB79" s="456" t="s">
        <v>156</v>
      </c>
      <c r="AC79" s="75"/>
      <c r="AD79" s="446" t="s">
        <v>156</v>
      </c>
      <c r="AF79" s="455" t="s">
        <v>156</v>
      </c>
      <c r="AG79" s="75"/>
      <c r="AH79" s="456" t="s">
        <v>156</v>
      </c>
      <c r="AI79" s="75"/>
      <c r="AJ79" s="446" t="s">
        <v>156</v>
      </c>
    </row>
    <row r="80" spans="1:36" ht="15" customHeight="1">
      <c r="A80" s="139"/>
      <c r="B80" s="139"/>
      <c r="C80" s="139"/>
      <c r="D80" s="139"/>
      <c r="E80" s="418"/>
      <c r="F80" s="139"/>
      <c r="G80" s="427"/>
      <c r="H80" s="139"/>
      <c r="I80" s="418"/>
      <c r="J80" s="140"/>
      <c r="K80" s="427"/>
      <c r="L80" s="140"/>
      <c r="M80" s="427"/>
      <c r="N80" s="140"/>
      <c r="O80" s="140"/>
      <c r="P80" s="140"/>
      <c r="Q80" s="477"/>
      <c r="R80" s="140"/>
      <c r="S80" s="443"/>
      <c r="T80" s="418"/>
      <c r="V80" s="418"/>
      <c r="W80" s="140"/>
      <c r="X80" s="450"/>
      <c r="Z80" s="418"/>
      <c r="AB80" s="418"/>
      <c r="AD80" s="450"/>
      <c r="AF80" s="418"/>
      <c r="AH80" s="418"/>
      <c r="AJ80" s="450"/>
    </row>
    <row r="81" spans="1:36" ht="15" customHeight="1">
      <c r="A81" s="139">
        <v>1</v>
      </c>
      <c r="B81" s="139"/>
      <c r="C81" s="111" t="s">
        <v>272</v>
      </c>
      <c r="D81" s="111"/>
      <c r="E81" s="419"/>
      <c r="F81" s="111"/>
      <c r="G81" s="435"/>
      <c r="H81" s="111"/>
      <c r="I81" s="419"/>
      <c r="J81" s="140"/>
      <c r="K81" s="428"/>
      <c r="L81" s="140"/>
      <c r="M81" s="428"/>
      <c r="N81" s="140"/>
      <c r="O81" s="140"/>
      <c r="P81" s="140"/>
      <c r="Q81" s="478"/>
      <c r="R81" s="140"/>
      <c r="S81" s="443"/>
      <c r="T81" s="422"/>
      <c r="V81" s="422"/>
      <c r="W81" s="140"/>
      <c r="X81" s="451"/>
      <c r="Z81" s="422"/>
      <c r="AB81" s="422"/>
      <c r="AD81" s="451"/>
      <c r="AF81" s="422"/>
      <c r="AH81" s="422"/>
      <c r="AJ81" s="451"/>
    </row>
    <row r="82" spans="1:36" ht="15" customHeight="1">
      <c r="A82" s="139"/>
      <c r="B82" s="139"/>
      <c r="C82" s="141" t="s">
        <v>32</v>
      </c>
      <c r="D82" s="141"/>
      <c r="E82" s="420"/>
      <c r="F82" s="141"/>
      <c r="G82" s="436"/>
      <c r="H82" s="141"/>
      <c r="I82" s="420"/>
      <c r="J82" s="140"/>
      <c r="K82" s="428"/>
      <c r="L82" s="140"/>
      <c r="M82" s="428"/>
      <c r="N82" s="140"/>
      <c r="O82" s="140"/>
      <c r="P82" s="140"/>
      <c r="Q82" s="478"/>
      <c r="R82" s="140"/>
      <c r="S82" s="443"/>
      <c r="T82" s="422"/>
      <c r="V82" s="422"/>
      <c r="W82" s="140"/>
      <c r="X82" s="451"/>
      <c r="Z82" s="422"/>
      <c r="AB82" s="422"/>
      <c r="AD82" s="451"/>
      <c r="AF82" s="422"/>
      <c r="AH82" s="422"/>
      <c r="AJ82" s="451"/>
    </row>
    <row r="83" spans="1:36" ht="15" customHeight="1">
      <c r="A83" s="139"/>
      <c r="B83" s="139"/>
      <c r="C83" s="139"/>
      <c r="D83" s="139"/>
      <c r="E83" s="422"/>
      <c r="F83" s="139"/>
      <c r="G83" s="428"/>
      <c r="H83" s="139"/>
      <c r="I83" s="422"/>
      <c r="J83" s="140"/>
      <c r="K83" s="428"/>
      <c r="L83" s="140"/>
      <c r="M83" s="428"/>
      <c r="N83" s="140"/>
      <c r="O83" s="140"/>
      <c r="P83" s="140"/>
      <c r="Q83" s="478"/>
      <c r="R83" s="140"/>
      <c r="S83" s="443"/>
      <c r="T83" s="422"/>
      <c r="V83" s="422"/>
      <c r="W83" s="140"/>
      <c r="X83" s="451"/>
      <c r="Z83" s="422"/>
      <c r="AB83" s="422"/>
      <c r="AD83" s="451"/>
      <c r="AF83" s="422"/>
      <c r="AH83" s="422"/>
      <c r="AJ83" s="451"/>
    </row>
    <row r="84" spans="1:36" ht="15" customHeight="1">
      <c r="A84" s="139"/>
      <c r="B84" s="139"/>
      <c r="C84" s="139" t="s">
        <v>168</v>
      </c>
      <c r="D84" s="139"/>
      <c r="E84" s="135" t="e">
        <f aca="true" t="shared" si="1" ref="E84:E89">+I84-Q84</f>
        <v>#REF!</v>
      </c>
      <c r="F84" s="99"/>
      <c r="G84" s="411">
        <f>+X84+MainSummary!G76</f>
        <v>9800.56</v>
      </c>
      <c r="H84" s="99"/>
      <c r="I84" s="330">
        <f>+MainSummary!I76</f>
        <v>9174.9</v>
      </c>
      <c r="J84" s="294"/>
      <c r="K84" s="331">
        <f>+AJ84+MainSummary!K76</f>
        <v>32411.29</v>
      </c>
      <c r="L84" s="326"/>
      <c r="M84" s="331">
        <f>+MainSummary!M76</f>
        <v>28880.46</v>
      </c>
      <c r="N84" s="294"/>
      <c r="O84" s="329"/>
      <c r="P84" s="326"/>
      <c r="Q84" s="464" t="e">
        <f>+MainSummary!#REF!</f>
        <v>#REF!</v>
      </c>
      <c r="R84" s="140"/>
      <c r="S84" s="443"/>
      <c r="T84" s="135">
        <f>+AF84-Z84</f>
        <v>0</v>
      </c>
      <c r="V84" s="135">
        <f>+AH84-AB84</f>
        <v>585.8100000000001</v>
      </c>
      <c r="W84" s="115"/>
      <c r="X84" s="444">
        <f>+T84+V84</f>
        <v>585.8100000000001</v>
      </c>
      <c r="Z84" s="135">
        <v>0</v>
      </c>
      <c r="AB84" s="126">
        <f>+AB29</f>
        <v>532.65</v>
      </c>
      <c r="AD84" s="444">
        <f>+Z84+AB84</f>
        <v>532.65</v>
      </c>
      <c r="AF84" s="135">
        <v>0</v>
      </c>
      <c r="AH84" s="135">
        <f>+AH29</f>
        <v>1118.46</v>
      </c>
      <c r="AJ84" s="444">
        <f>+AF84+AH84</f>
        <v>1118.46</v>
      </c>
    </row>
    <row r="85" spans="1:36" ht="15" customHeight="1">
      <c r="A85" s="139"/>
      <c r="B85" s="139"/>
      <c r="C85" s="139" t="s">
        <v>33</v>
      </c>
      <c r="D85" s="139"/>
      <c r="E85" s="135" t="e">
        <f t="shared" si="1"/>
        <v>#REF!</v>
      </c>
      <c r="F85" s="99"/>
      <c r="G85" s="411">
        <f>+X85+MainSummary!G77</f>
        <v>1479.8</v>
      </c>
      <c r="H85" s="99"/>
      <c r="I85" s="330">
        <f>+MainSummary!I77</f>
        <v>1269.35</v>
      </c>
      <c r="J85" s="294"/>
      <c r="K85" s="331">
        <f>+AJ85+MainSummary!K77</f>
        <v>5705.28</v>
      </c>
      <c r="L85" s="326"/>
      <c r="M85" s="331">
        <f>+MainSummary!M77</f>
        <v>4539.22</v>
      </c>
      <c r="N85" s="294"/>
      <c r="O85" s="329"/>
      <c r="P85" s="326"/>
      <c r="Q85" s="464" t="e">
        <f>+MainSummary!#REF!</f>
        <v>#REF!</v>
      </c>
      <c r="R85" s="140"/>
      <c r="S85" s="443"/>
      <c r="T85" s="135">
        <f aca="true" t="shared" si="2" ref="T85:V91">+AF85-Z85</f>
        <v>0</v>
      </c>
      <c r="V85" s="135">
        <f t="shared" si="2"/>
        <v>0</v>
      </c>
      <c r="W85" s="115"/>
      <c r="X85" s="444">
        <f aca="true" t="shared" si="3" ref="X85:X91">+T85+V85</f>
        <v>0</v>
      </c>
      <c r="Z85" s="135">
        <v>0</v>
      </c>
      <c r="AB85" s="126">
        <v>0</v>
      </c>
      <c r="AD85" s="444">
        <f aca="true" t="shared" si="4" ref="AD85:AD91">+Z85+AB85</f>
        <v>0</v>
      </c>
      <c r="AF85" s="135">
        <v>0</v>
      </c>
      <c r="AH85" s="135">
        <v>0</v>
      </c>
      <c r="AJ85" s="444">
        <f aca="true" t="shared" si="5" ref="AJ85:AJ91">+AF85+AH85</f>
        <v>0</v>
      </c>
    </row>
    <row r="86" spans="1:36" ht="15" customHeight="1">
      <c r="A86" s="139"/>
      <c r="B86" s="139"/>
      <c r="C86" s="139" t="s">
        <v>167</v>
      </c>
      <c r="D86" s="139"/>
      <c r="E86" s="135" t="e">
        <f t="shared" si="1"/>
        <v>#REF!</v>
      </c>
      <c r="F86" s="99"/>
      <c r="G86" s="411">
        <f>+X86+MainSummary!G78</f>
        <v>2854.3</v>
      </c>
      <c r="H86" s="99"/>
      <c r="I86" s="330">
        <f>+MainSummary!I78</f>
        <v>1601.34</v>
      </c>
      <c r="J86" s="294"/>
      <c r="K86" s="331">
        <f>+AJ86+MainSummary!K78</f>
        <v>7363.1</v>
      </c>
      <c r="L86" s="326"/>
      <c r="M86" s="331">
        <f>+MainSummary!M78</f>
        <v>5227.47</v>
      </c>
      <c r="N86" s="294"/>
      <c r="O86" s="329"/>
      <c r="P86" s="326"/>
      <c r="Q86" s="464" t="e">
        <f>+MainSummary!#REF!</f>
        <v>#REF!</v>
      </c>
      <c r="R86" s="140"/>
      <c r="S86" s="443"/>
      <c r="T86" s="135">
        <f t="shared" si="2"/>
        <v>1411.75</v>
      </c>
      <c r="V86" s="135">
        <f t="shared" si="2"/>
        <v>0</v>
      </c>
      <c r="W86" s="115"/>
      <c r="X86" s="444">
        <f t="shared" si="3"/>
        <v>1411.75</v>
      </c>
      <c r="Z86" s="135">
        <f>+Z29</f>
        <v>854.17</v>
      </c>
      <c r="AB86" s="126">
        <v>0</v>
      </c>
      <c r="AD86" s="444">
        <f t="shared" si="4"/>
        <v>854.17</v>
      </c>
      <c r="AF86" s="135">
        <v>2265.92</v>
      </c>
      <c r="AH86" s="135">
        <v>0</v>
      </c>
      <c r="AJ86" s="444">
        <f t="shared" si="5"/>
        <v>2265.92</v>
      </c>
    </row>
    <row r="87" spans="1:36" ht="15.75">
      <c r="A87" s="139"/>
      <c r="B87" s="139"/>
      <c r="C87" s="139" t="s">
        <v>166</v>
      </c>
      <c r="D87" s="139"/>
      <c r="E87" s="135" t="e">
        <f t="shared" si="1"/>
        <v>#REF!</v>
      </c>
      <c r="F87" s="99"/>
      <c r="G87" s="411">
        <f>+X87+MainSummary!G79</f>
        <v>1381.25</v>
      </c>
      <c r="H87" s="99"/>
      <c r="I87" s="330">
        <f>+MainSummary!I79</f>
        <v>944.51</v>
      </c>
      <c r="J87" s="294"/>
      <c r="K87" s="331">
        <f>+AJ87+MainSummary!K79</f>
        <v>4262.7</v>
      </c>
      <c r="L87" s="326"/>
      <c r="M87" s="331">
        <f>+MainSummary!M79</f>
        <v>3297.95</v>
      </c>
      <c r="N87" s="294"/>
      <c r="O87" s="329"/>
      <c r="P87" s="326"/>
      <c r="Q87" s="464" t="e">
        <f>+MainSummary!#REF!</f>
        <v>#REF!</v>
      </c>
      <c r="R87" s="140"/>
      <c r="S87" s="443"/>
      <c r="T87" s="135">
        <f t="shared" si="2"/>
        <v>0</v>
      </c>
      <c r="V87" s="135">
        <f t="shared" si="2"/>
        <v>0</v>
      </c>
      <c r="W87" s="115"/>
      <c r="X87" s="444">
        <f t="shared" si="3"/>
        <v>0</v>
      </c>
      <c r="Z87" s="135">
        <v>0</v>
      </c>
      <c r="AB87" s="126">
        <v>0</v>
      </c>
      <c r="AD87" s="444">
        <f t="shared" si="4"/>
        <v>0</v>
      </c>
      <c r="AF87" s="135">
        <v>0</v>
      </c>
      <c r="AH87" s="135">
        <v>0</v>
      </c>
      <c r="AJ87" s="444">
        <f t="shared" si="5"/>
        <v>0</v>
      </c>
    </row>
    <row r="88" spans="1:36" ht="15.75">
      <c r="A88" s="139"/>
      <c r="B88" s="139"/>
      <c r="C88" s="139" t="s">
        <v>198</v>
      </c>
      <c r="D88" s="139"/>
      <c r="E88" s="135" t="e">
        <f t="shared" si="1"/>
        <v>#REF!</v>
      </c>
      <c r="F88" s="99"/>
      <c r="G88" s="411">
        <f>+X88+MainSummary!G80</f>
        <v>201.4</v>
      </c>
      <c r="H88" s="99"/>
      <c r="I88" s="330">
        <f>+MainSummary!I80</f>
        <v>137.45</v>
      </c>
      <c r="J88" s="294"/>
      <c r="K88" s="331">
        <f>+AJ88+MainSummary!K80</f>
        <v>597.49</v>
      </c>
      <c r="L88" s="326"/>
      <c r="M88" s="331">
        <f>+MainSummary!M80</f>
        <v>499.54</v>
      </c>
      <c r="N88" s="294"/>
      <c r="O88" s="329"/>
      <c r="P88" s="326"/>
      <c r="Q88" s="464" t="e">
        <f>+MainSummary!#REF!</f>
        <v>#REF!</v>
      </c>
      <c r="R88" s="140"/>
      <c r="S88" s="443"/>
      <c r="T88" s="135">
        <f t="shared" si="2"/>
        <v>0</v>
      </c>
      <c r="V88" s="135">
        <f t="shared" si="2"/>
        <v>0</v>
      </c>
      <c r="W88" s="115"/>
      <c r="X88" s="444">
        <f t="shared" si="3"/>
        <v>0</v>
      </c>
      <c r="Z88" s="135">
        <v>0</v>
      </c>
      <c r="AB88" s="126">
        <v>0</v>
      </c>
      <c r="AD88" s="444">
        <f t="shared" si="4"/>
        <v>0</v>
      </c>
      <c r="AF88" s="135">
        <v>0</v>
      </c>
      <c r="AH88" s="135">
        <v>0</v>
      </c>
      <c r="AJ88" s="444">
        <f t="shared" si="5"/>
        <v>0</v>
      </c>
    </row>
    <row r="89" spans="1:36" ht="15" customHeight="1">
      <c r="A89" s="139"/>
      <c r="B89" s="139"/>
      <c r="C89" s="139" t="s">
        <v>203</v>
      </c>
      <c r="D89" s="139"/>
      <c r="E89" s="423" t="e">
        <f t="shared" si="1"/>
        <v>#REF!</v>
      </c>
      <c r="F89" s="99"/>
      <c r="G89" s="485">
        <f>+X89+MainSummary!G81</f>
        <v>2094.59</v>
      </c>
      <c r="H89" s="99"/>
      <c r="I89" s="274">
        <f>+MainSummary!I81</f>
        <v>780.74</v>
      </c>
      <c r="J89" s="294"/>
      <c r="K89" s="130">
        <f>+AJ89+MainSummary!K81</f>
        <v>2361.25</v>
      </c>
      <c r="L89" s="326"/>
      <c r="M89" s="130">
        <f>+MainSummary!M81</f>
        <v>1338.34</v>
      </c>
      <c r="N89" s="294"/>
      <c r="O89" s="329"/>
      <c r="P89" s="326"/>
      <c r="Q89" s="465" t="e">
        <f>+MainSummary!#REF!</f>
        <v>#REF!</v>
      </c>
      <c r="R89" s="140"/>
      <c r="S89" s="443"/>
      <c r="T89" s="423">
        <f t="shared" si="2"/>
        <v>0</v>
      </c>
      <c r="V89" s="423">
        <f t="shared" si="2"/>
        <v>0</v>
      </c>
      <c r="W89" s="115"/>
      <c r="X89" s="421">
        <f t="shared" si="3"/>
        <v>0</v>
      </c>
      <c r="Z89" s="423">
        <v>0</v>
      </c>
      <c r="AB89" s="514">
        <v>0</v>
      </c>
      <c r="AD89" s="421">
        <f t="shared" si="4"/>
        <v>0</v>
      </c>
      <c r="AF89" s="423">
        <v>0</v>
      </c>
      <c r="AH89" s="423">
        <v>0</v>
      </c>
      <c r="AJ89" s="421">
        <f t="shared" si="5"/>
        <v>0</v>
      </c>
    </row>
    <row r="90" spans="1:36" ht="15" customHeight="1">
      <c r="A90" s="139"/>
      <c r="B90" s="139"/>
      <c r="C90" s="111" t="s">
        <v>41</v>
      </c>
      <c r="D90" s="111"/>
      <c r="E90" s="133" t="e">
        <f>SUM(E84:E89)</f>
        <v>#REF!</v>
      </c>
      <c r="F90" s="111"/>
      <c r="G90" s="134">
        <f>SUM(G84:G89)</f>
        <v>17811.9</v>
      </c>
      <c r="H90" s="111"/>
      <c r="I90" s="133">
        <f>SUM(I84:I89)</f>
        <v>13908.29</v>
      </c>
      <c r="J90" s="115"/>
      <c r="K90" s="134">
        <f>SUM(K84:K89)</f>
        <v>52701.10999999999</v>
      </c>
      <c r="L90" s="128"/>
      <c r="M90" s="134">
        <f>SUM(M84:M89)</f>
        <v>43782.979999999996</v>
      </c>
      <c r="N90" s="115"/>
      <c r="O90" s="128"/>
      <c r="P90" s="121"/>
      <c r="Q90" s="463" t="e">
        <f>SUM(Q84:Q89)</f>
        <v>#REF!</v>
      </c>
      <c r="R90" s="140"/>
      <c r="S90" s="443"/>
      <c r="T90" s="133">
        <f>SUM(T84:T89)</f>
        <v>1411.75</v>
      </c>
      <c r="V90" s="133">
        <f>SUM(V84:V89)</f>
        <v>585.8100000000001</v>
      </c>
      <c r="W90" s="128"/>
      <c r="X90" s="448">
        <f>SUM(X84:X89)</f>
        <v>1997.56</v>
      </c>
      <c r="Z90" s="133">
        <f>SUM(Z84:Z89)</f>
        <v>854.17</v>
      </c>
      <c r="AB90" s="515">
        <f>SUM(AB84:AB89)</f>
        <v>532.65</v>
      </c>
      <c r="AD90" s="448">
        <f>SUM(AD84:AD89)</f>
        <v>1386.82</v>
      </c>
      <c r="AF90" s="133">
        <f>SUM(AF84:AF89)</f>
        <v>2265.92</v>
      </c>
      <c r="AH90" s="133">
        <f>SUM(AH84:AH89)</f>
        <v>1118.46</v>
      </c>
      <c r="AJ90" s="448">
        <f>SUM(AJ84:AJ89)</f>
        <v>3384.38</v>
      </c>
    </row>
    <row r="91" spans="1:36" ht="18" customHeight="1">
      <c r="A91" s="139"/>
      <c r="B91" s="139"/>
      <c r="C91" s="111" t="s">
        <v>34</v>
      </c>
      <c r="D91" s="111"/>
      <c r="E91" s="423" t="e">
        <f>+I91-Q91</f>
        <v>#REF!</v>
      </c>
      <c r="F91" s="99"/>
      <c r="G91" s="485">
        <f>+X91+MainSummary!G83</f>
        <v>103.48</v>
      </c>
      <c r="H91" s="99"/>
      <c r="I91" s="274">
        <f>+MainSummary!I83</f>
        <v>24.43</v>
      </c>
      <c r="J91" s="294"/>
      <c r="K91" s="130">
        <f>+AJ91+MainSummary!K83</f>
        <v>208.87</v>
      </c>
      <c r="L91" s="326"/>
      <c r="M91" s="130">
        <f>+MainSummary!M83</f>
        <v>88.21</v>
      </c>
      <c r="N91" s="294"/>
      <c r="O91" s="329"/>
      <c r="P91" s="326"/>
      <c r="Q91" s="465" t="e">
        <f>+MainSummary!#REF!</f>
        <v>#REF!</v>
      </c>
      <c r="R91" s="140"/>
      <c r="S91" s="443"/>
      <c r="T91" s="135">
        <f t="shared" si="2"/>
        <v>0</v>
      </c>
      <c r="V91" s="135">
        <f t="shared" si="2"/>
        <v>0</v>
      </c>
      <c r="W91" s="115"/>
      <c r="X91" s="421">
        <f t="shared" si="3"/>
        <v>0</v>
      </c>
      <c r="Z91" s="135">
        <v>0</v>
      </c>
      <c r="AB91" s="126">
        <v>0</v>
      </c>
      <c r="AD91" s="421">
        <f t="shared" si="4"/>
        <v>0</v>
      </c>
      <c r="AF91" s="135">
        <v>0</v>
      </c>
      <c r="AH91" s="135">
        <v>0</v>
      </c>
      <c r="AJ91" s="421">
        <f t="shared" si="5"/>
        <v>0</v>
      </c>
    </row>
    <row r="92" spans="1:36" ht="15" customHeight="1" thickBot="1">
      <c r="A92" s="139"/>
      <c r="B92" s="139"/>
      <c r="C92" s="139"/>
      <c r="D92" s="139"/>
      <c r="E92" s="424" t="e">
        <f>+E90-E91</f>
        <v>#REF!</v>
      </c>
      <c r="F92" s="139"/>
      <c r="G92" s="430">
        <f>+G90-G91</f>
        <v>17708.420000000002</v>
      </c>
      <c r="H92" s="139"/>
      <c r="I92" s="424">
        <f>+I90-I91</f>
        <v>13883.86</v>
      </c>
      <c r="J92" s="115"/>
      <c r="K92" s="430">
        <f>+K90-K91</f>
        <v>52492.23999999999</v>
      </c>
      <c r="L92" s="128"/>
      <c r="M92" s="430">
        <f>+M90-M91</f>
        <v>43694.77</v>
      </c>
      <c r="N92" s="115"/>
      <c r="O92" s="128"/>
      <c r="P92" s="121"/>
      <c r="Q92" s="470" t="e">
        <f>+Q90-Q91</f>
        <v>#REF!</v>
      </c>
      <c r="R92" s="140"/>
      <c r="S92" s="443"/>
      <c r="T92" s="424">
        <f>+T90-T91</f>
        <v>1411.75</v>
      </c>
      <c r="V92" s="424">
        <f>+V90-V91</f>
        <v>585.8100000000001</v>
      </c>
      <c r="W92" s="128"/>
      <c r="X92" s="449">
        <f>+X90-X91</f>
        <v>1997.56</v>
      </c>
      <c r="Z92" s="424">
        <f>+Z90-Z91</f>
        <v>854.17</v>
      </c>
      <c r="AB92" s="516">
        <f>+AB90-AB91</f>
        <v>532.65</v>
      </c>
      <c r="AD92" s="449">
        <f>+AD90-AD91</f>
        <v>1386.82</v>
      </c>
      <c r="AF92" s="424">
        <f>+AF90-AF91</f>
        <v>2265.92</v>
      </c>
      <c r="AH92" s="424">
        <f>+AH90-AH91</f>
        <v>1118.46</v>
      </c>
      <c r="AJ92" s="449">
        <f>+AJ90-AJ91</f>
        <v>3384.38</v>
      </c>
    </row>
    <row r="93" spans="1:36" ht="15" customHeight="1" thickTop="1">
      <c r="A93" s="139"/>
      <c r="B93" s="139"/>
      <c r="C93" s="139"/>
      <c r="D93" s="139"/>
      <c r="E93" s="135"/>
      <c r="F93" s="139"/>
      <c r="G93" s="136"/>
      <c r="H93" s="139"/>
      <c r="I93" s="135"/>
      <c r="J93" s="115"/>
      <c r="K93" s="136"/>
      <c r="L93" s="115"/>
      <c r="M93" s="136"/>
      <c r="N93" s="115"/>
      <c r="O93" s="115"/>
      <c r="P93" s="121"/>
      <c r="Q93" s="464"/>
      <c r="R93" s="140"/>
      <c r="S93" s="443"/>
      <c r="T93" s="135"/>
      <c r="V93" s="135"/>
      <c r="W93" s="115"/>
      <c r="X93" s="444"/>
      <c r="Z93" s="135"/>
      <c r="AB93" s="126"/>
      <c r="AD93" s="444"/>
      <c r="AF93" s="135"/>
      <c r="AH93" s="135"/>
      <c r="AJ93" s="444"/>
    </row>
    <row r="94" spans="1:36" ht="15" customHeight="1">
      <c r="A94" s="139">
        <v>2</v>
      </c>
      <c r="B94" s="139"/>
      <c r="C94" s="142" t="s">
        <v>274</v>
      </c>
      <c r="D94" s="142"/>
      <c r="E94" s="135"/>
      <c r="F94" s="142"/>
      <c r="G94" s="136"/>
      <c r="H94" s="142"/>
      <c r="I94" s="135"/>
      <c r="J94" s="115"/>
      <c r="K94" s="136"/>
      <c r="L94" s="115"/>
      <c r="M94" s="136"/>
      <c r="N94" s="115"/>
      <c r="O94" s="115"/>
      <c r="P94" s="121"/>
      <c r="Q94" s="464"/>
      <c r="R94" s="140"/>
      <c r="S94" s="443"/>
      <c r="T94" s="135"/>
      <c r="V94" s="135"/>
      <c r="W94" s="115"/>
      <c r="X94" s="444"/>
      <c r="Z94" s="135"/>
      <c r="AB94" s="126"/>
      <c r="AD94" s="444"/>
      <c r="AF94" s="135" t="s">
        <v>250</v>
      </c>
      <c r="AH94" s="135"/>
      <c r="AJ94" s="444"/>
    </row>
    <row r="95" spans="1:36" ht="15" customHeight="1">
      <c r="A95" s="139"/>
      <c r="B95" s="139"/>
      <c r="C95" s="141" t="s">
        <v>275</v>
      </c>
      <c r="D95" s="141"/>
      <c r="E95" s="135"/>
      <c r="F95" s="141"/>
      <c r="G95" s="136"/>
      <c r="H95" s="141"/>
      <c r="I95" s="135"/>
      <c r="J95" s="115"/>
      <c r="K95" s="136"/>
      <c r="L95" s="115"/>
      <c r="M95" s="136"/>
      <c r="N95" s="115"/>
      <c r="O95" s="115"/>
      <c r="P95" s="121"/>
      <c r="Q95" s="464"/>
      <c r="R95" s="140"/>
      <c r="S95" s="443"/>
      <c r="T95" s="135"/>
      <c r="V95" s="135"/>
      <c r="W95" s="115"/>
      <c r="X95" s="444"/>
      <c r="Z95" s="135"/>
      <c r="AB95" s="126"/>
      <c r="AD95" s="444"/>
      <c r="AF95" s="135"/>
      <c r="AH95" s="135"/>
      <c r="AJ95" s="444"/>
    </row>
    <row r="96" spans="1:36" ht="15" customHeight="1">
      <c r="A96" s="139"/>
      <c r="B96" s="139"/>
      <c r="C96" s="139"/>
      <c r="D96" s="139"/>
      <c r="E96" s="135"/>
      <c r="F96" s="139"/>
      <c r="G96" s="136"/>
      <c r="H96" s="139"/>
      <c r="I96" s="135"/>
      <c r="J96" s="115"/>
      <c r="K96" s="136"/>
      <c r="L96" s="115"/>
      <c r="M96" s="136"/>
      <c r="N96" s="115"/>
      <c r="O96" s="115"/>
      <c r="P96" s="121"/>
      <c r="Q96" s="464"/>
      <c r="R96" s="140"/>
      <c r="S96" s="443"/>
      <c r="T96" s="135"/>
      <c r="V96" s="135"/>
      <c r="W96" s="115"/>
      <c r="X96" s="444"/>
      <c r="Z96" s="135"/>
      <c r="AB96" s="126"/>
      <c r="AD96" s="444"/>
      <c r="AF96" s="135"/>
      <c r="AH96" s="135"/>
      <c r="AJ96" s="444"/>
    </row>
    <row r="97" spans="1:36" ht="15" customHeight="1">
      <c r="A97" s="139"/>
      <c r="B97" s="139"/>
      <c r="C97" s="139" t="s">
        <v>168</v>
      </c>
      <c r="D97" s="139"/>
      <c r="E97" s="401" t="e">
        <f>+I97-Q97</f>
        <v>#REF!</v>
      </c>
      <c r="F97" s="99"/>
      <c r="G97" s="411">
        <f>+X97+MainSummary!G89</f>
        <v>180.26999999999992</v>
      </c>
      <c r="H97" s="99"/>
      <c r="I97" s="330">
        <f>+MainSummary!I89</f>
        <v>662.03</v>
      </c>
      <c r="J97" s="294"/>
      <c r="K97" s="331">
        <f>+AJ97+MainSummary!K89</f>
        <v>424.53999999999996</v>
      </c>
      <c r="L97" s="326"/>
      <c r="M97" s="331">
        <f>+MainSummary!M89</f>
        <v>1410.04</v>
      </c>
      <c r="N97" s="294"/>
      <c r="O97" s="329"/>
      <c r="P97" s="326"/>
      <c r="Q97" s="464" t="e">
        <f>+MainSummary!#REF!</f>
        <v>#REF!</v>
      </c>
      <c r="R97" s="140"/>
      <c r="S97" s="443"/>
      <c r="T97" s="135">
        <f aca="true" t="shared" si="6" ref="T97:V101">+AF97-Z97</f>
        <v>0</v>
      </c>
      <c r="V97" s="135">
        <f t="shared" si="6"/>
        <v>-11.150000000000052</v>
      </c>
      <c r="W97" s="115"/>
      <c r="X97" s="444">
        <f>+T97+V97</f>
        <v>-11.150000000000052</v>
      </c>
      <c r="Z97" s="135">
        <v>0</v>
      </c>
      <c r="AB97" s="126">
        <f>+AB48+AB37</f>
        <v>15.930000000000003</v>
      </c>
      <c r="AD97" s="444">
        <f>+Z97+AB97</f>
        <v>15.930000000000003</v>
      </c>
      <c r="AF97" s="135">
        <v>0</v>
      </c>
      <c r="AH97" s="135">
        <f>+AH48+AH37</f>
        <v>4.779999999999951</v>
      </c>
      <c r="AJ97" s="444">
        <f>+AF97+AH97</f>
        <v>4.779999999999951</v>
      </c>
    </row>
    <row r="98" spans="1:36" ht="15" customHeight="1">
      <c r="A98" s="139"/>
      <c r="B98" s="139"/>
      <c r="C98" s="139" t="s">
        <v>33</v>
      </c>
      <c r="D98" s="139"/>
      <c r="E98" s="401" t="e">
        <f>+I98-Q98</f>
        <v>#REF!</v>
      </c>
      <c r="F98" s="99"/>
      <c r="G98" s="411">
        <f>+X98+MainSummary!G90</f>
        <v>220.09</v>
      </c>
      <c r="H98" s="99"/>
      <c r="I98" s="330">
        <f>+MainSummary!I90</f>
        <v>70.13</v>
      </c>
      <c r="J98" s="294"/>
      <c r="K98" s="331">
        <f>+AJ98+MainSummary!K90</f>
        <v>790.17</v>
      </c>
      <c r="L98" s="326"/>
      <c r="M98" s="331">
        <f>+MainSummary!M90</f>
        <v>395.6</v>
      </c>
      <c r="N98" s="294"/>
      <c r="O98" s="329"/>
      <c r="P98" s="326"/>
      <c r="Q98" s="464" t="e">
        <f>+MainSummary!#REF!</f>
        <v>#REF!</v>
      </c>
      <c r="R98" s="140"/>
      <c r="S98" s="443"/>
      <c r="T98" s="135">
        <f t="shared" si="6"/>
        <v>0</v>
      </c>
      <c r="V98" s="135">
        <f t="shared" si="6"/>
        <v>0</v>
      </c>
      <c r="W98" s="115"/>
      <c r="X98" s="444">
        <f>+T98+V98</f>
        <v>0</v>
      </c>
      <c r="Z98" s="135">
        <v>0</v>
      </c>
      <c r="AB98" s="126">
        <v>0</v>
      </c>
      <c r="AD98" s="444">
        <f>+Z98+AB98</f>
        <v>0</v>
      </c>
      <c r="AF98" s="135">
        <v>0</v>
      </c>
      <c r="AH98" s="135">
        <v>0</v>
      </c>
      <c r="AJ98" s="444">
        <f>+AF98+AH98</f>
        <v>0</v>
      </c>
    </row>
    <row r="99" spans="1:36" ht="15" customHeight="1">
      <c r="A99" s="139"/>
      <c r="B99" s="139"/>
      <c r="C99" s="139" t="s">
        <v>167</v>
      </c>
      <c r="D99" s="139"/>
      <c r="E99" s="401" t="e">
        <f>+I99-Q99</f>
        <v>#REF!</v>
      </c>
      <c r="F99" s="99"/>
      <c r="G99" s="411">
        <f>+X99+MainSummary!G91</f>
        <v>163.18</v>
      </c>
      <c r="H99" s="99"/>
      <c r="I99" s="330">
        <f>+MainSummary!I91</f>
        <v>-39.05</v>
      </c>
      <c r="J99" s="294"/>
      <c r="K99" s="331">
        <f>+AJ99+MainSummary!K91</f>
        <v>417.97</v>
      </c>
      <c r="L99" s="326"/>
      <c r="M99" s="331">
        <f>+MainSummary!M91</f>
        <v>276.07</v>
      </c>
      <c r="N99" s="294"/>
      <c r="O99" s="329"/>
      <c r="P99" s="326"/>
      <c r="Q99" s="464" t="e">
        <f>+MainSummary!#REF!</f>
        <v>#REF!</v>
      </c>
      <c r="R99" s="140"/>
      <c r="S99" s="443"/>
      <c r="T99" s="135">
        <f t="shared" si="6"/>
        <v>165.74</v>
      </c>
      <c r="V99" s="135">
        <f t="shared" si="6"/>
        <v>0</v>
      </c>
      <c r="W99" s="115"/>
      <c r="X99" s="444">
        <f>+T99+V99</f>
        <v>165.74</v>
      </c>
      <c r="Z99" s="135">
        <f>+Z48+Z37</f>
        <v>51.989999999999995</v>
      </c>
      <c r="AB99" s="126">
        <v>0</v>
      </c>
      <c r="AD99" s="444">
        <f>+Z99+AB99</f>
        <v>51.989999999999995</v>
      </c>
      <c r="AF99" s="135">
        <v>217.73</v>
      </c>
      <c r="AH99" s="135">
        <v>0</v>
      </c>
      <c r="AJ99" s="444">
        <f>+AF99+AH99</f>
        <v>217.73</v>
      </c>
    </row>
    <row r="100" spans="1:36" ht="15.75">
      <c r="A100" s="139"/>
      <c r="B100" s="139"/>
      <c r="C100" s="139" t="s">
        <v>166</v>
      </c>
      <c r="D100" s="139"/>
      <c r="E100" s="401" t="e">
        <f>+I100-Q100</f>
        <v>#REF!</v>
      </c>
      <c r="F100" s="99"/>
      <c r="G100" s="411">
        <f>+X100+MainSummary!G92</f>
        <v>38.11</v>
      </c>
      <c r="H100" s="99"/>
      <c r="I100" s="330">
        <f>+MainSummary!I92</f>
        <v>-10.51</v>
      </c>
      <c r="J100" s="294"/>
      <c r="K100" s="331">
        <f>+AJ100+MainSummary!K92</f>
        <v>184.11</v>
      </c>
      <c r="L100" s="326"/>
      <c r="M100" s="331">
        <f>+MainSummary!M92</f>
        <v>89.99</v>
      </c>
      <c r="N100" s="294"/>
      <c r="O100" s="329"/>
      <c r="P100" s="326"/>
      <c r="Q100" s="464" t="e">
        <f>+MainSummary!#REF!</f>
        <v>#REF!</v>
      </c>
      <c r="R100" s="140"/>
      <c r="S100" s="443"/>
      <c r="T100" s="135">
        <f t="shared" si="6"/>
        <v>0</v>
      </c>
      <c r="V100" s="135">
        <f t="shared" si="6"/>
        <v>0</v>
      </c>
      <c r="W100" s="115"/>
      <c r="X100" s="444">
        <f>+T100+V100</f>
        <v>0</v>
      </c>
      <c r="Z100" s="135">
        <v>0</v>
      </c>
      <c r="AB100" s="126">
        <v>0</v>
      </c>
      <c r="AD100" s="444">
        <f>+Z100+AB100</f>
        <v>0</v>
      </c>
      <c r="AF100" s="135">
        <v>0</v>
      </c>
      <c r="AH100" s="135">
        <v>0</v>
      </c>
      <c r="AJ100" s="444">
        <f>+AF100+AH100</f>
        <v>0</v>
      </c>
    </row>
    <row r="101" spans="1:36" ht="15.75">
      <c r="A101" s="139"/>
      <c r="B101" s="139"/>
      <c r="C101" s="139" t="s">
        <v>198</v>
      </c>
      <c r="D101" s="139"/>
      <c r="E101" s="402" t="e">
        <f>+I101-Q101</f>
        <v>#REF!</v>
      </c>
      <c r="F101" s="99"/>
      <c r="G101" s="485">
        <f>+X101+MainSummary!G93</f>
        <v>88.3</v>
      </c>
      <c r="H101" s="99"/>
      <c r="I101" s="274">
        <f>+MainSummary!I93</f>
        <v>1.47</v>
      </c>
      <c r="J101" s="294"/>
      <c r="K101" s="130">
        <f>+AJ101+MainSummary!K93</f>
        <v>213.27</v>
      </c>
      <c r="L101" s="326"/>
      <c r="M101" s="130">
        <f>+MainSummary!M93</f>
        <v>15.43999999999994</v>
      </c>
      <c r="N101" s="294"/>
      <c r="O101" s="329"/>
      <c r="P101" s="326"/>
      <c r="Q101" s="465" t="e">
        <f>+MainSummary!#REF!</f>
        <v>#REF!</v>
      </c>
      <c r="R101" s="140"/>
      <c r="S101" s="443"/>
      <c r="T101" s="423">
        <f t="shared" si="6"/>
        <v>0</v>
      </c>
      <c r="V101" s="423">
        <f t="shared" si="6"/>
        <v>0</v>
      </c>
      <c r="W101" s="115"/>
      <c r="X101" s="421">
        <f>+T101+V101</f>
        <v>0</v>
      </c>
      <c r="Z101" s="423">
        <v>0</v>
      </c>
      <c r="AB101" s="514">
        <v>0</v>
      </c>
      <c r="AD101" s="421">
        <f>+Z101+AB101</f>
        <v>0</v>
      </c>
      <c r="AF101" s="423">
        <v>0</v>
      </c>
      <c r="AH101" s="423">
        <v>0</v>
      </c>
      <c r="AJ101" s="421">
        <f>+AF101+AH101</f>
        <v>0</v>
      </c>
    </row>
    <row r="102" spans="1:36" ht="15" customHeight="1">
      <c r="A102" s="139"/>
      <c r="B102" s="139"/>
      <c r="C102" s="111" t="s">
        <v>41</v>
      </c>
      <c r="D102" s="111"/>
      <c r="E102" s="133" t="e">
        <f>SUM(E97:E101)</f>
        <v>#REF!</v>
      </c>
      <c r="F102" s="111"/>
      <c r="G102" s="134">
        <f>SUM(G97:G101)</f>
        <v>689.9499999999999</v>
      </c>
      <c r="H102" s="111"/>
      <c r="I102" s="133">
        <f>SUM(I97:I101)</f>
        <v>684.07</v>
      </c>
      <c r="J102" s="115"/>
      <c r="K102" s="134">
        <f>SUM(K97:K101)</f>
        <v>2030.06</v>
      </c>
      <c r="L102" s="128"/>
      <c r="M102" s="134">
        <f>SUM(M97:M101)</f>
        <v>2187.14</v>
      </c>
      <c r="N102" s="115"/>
      <c r="O102" s="128"/>
      <c r="P102" s="302"/>
      <c r="Q102" s="463" t="e">
        <f>SUM(Q97:Q101)</f>
        <v>#REF!</v>
      </c>
      <c r="R102" s="140"/>
      <c r="S102" s="443"/>
      <c r="T102" s="133">
        <f>SUM(T97:T101)</f>
        <v>165.74</v>
      </c>
      <c r="V102" s="133">
        <f>SUM(V97:V101)</f>
        <v>-11.150000000000052</v>
      </c>
      <c r="W102" s="128"/>
      <c r="X102" s="448">
        <f>SUM(X97:X101)</f>
        <v>154.58999999999995</v>
      </c>
      <c r="Z102" s="133">
        <f>SUM(Z97:Z101)</f>
        <v>51.989999999999995</v>
      </c>
      <c r="AB102" s="515">
        <f>SUM(AB97:AB101)</f>
        <v>15.930000000000003</v>
      </c>
      <c r="AD102" s="448">
        <f>SUM(AD97:AD101)</f>
        <v>67.92</v>
      </c>
      <c r="AF102" s="133">
        <f>SUM(AF97:AF101)</f>
        <v>217.73</v>
      </c>
      <c r="AH102" s="133">
        <f>SUM(AH97:AH101)</f>
        <v>4.779999999999951</v>
      </c>
      <c r="AJ102" s="448">
        <f>SUM(AJ97:AJ101)</f>
        <v>222.50999999999993</v>
      </c>
    </row>
    <row r="103" spans="1:36" ht="15" customHeight="1">
      <c r="A103" s="139"/>
      <c r="B103" s="139"/>
      <c r="C103" s="138"/>
      <c r="D103" s="138"/>
      <c r="E103" s="135"/>
      <c r="F103" s="138"/>
      <c r="G103" s="136"/>
      <c r="H103" s="138"/>
      <c r="I103" s="135"/>
      <c r="J103" s="115"/>
      <c r="K103" s="136"/>
      <c r="L103" s="115"/>
      <c r="M103" s="136"/>
      <c r="N103" s="115"/>
      <c r="O103" s="115"/>
      <c r="P103" s="302"/>
      <c r="Q103" s="464"/>
      <c r="R103" s="140"/>
      <c r="S103" s="443"/>
      <c r="T103" s="135"/>
      <c r="V103" s="135"/>
      <c r="W103" s="115"/>
      <c r="X103" s="444"/>
      <c r="Z103" s="135"/>
      <c r="AB103" s="126"/>
      <c r="AD103" s="444"/>
      <c r="AF103" s="135"/>
      <c r="AH103" s="135"/>
      <c r="AJ103" s="444"/>
    </row>
    <row r="104" spans="1:36" ht="15" customHeight="1">
      <c r="A104" s="139"/>
      <c r="B104" s="139"/>
      <c r="C104" s="111" t="s">
        <v>54</v>
      </c>
      <c r="D104" s="111"/>
      <c r="E104" s="401" t="e">
        <f>+I104-Q104</f>
        <v>#REF!</v>
      </c>
      <c r="F104" s="99"/>
      <c r="G104" s="411">
        <f>+X104+MainSummary!G96</f>
        <v>315.09000000000003</v>
      </c>
      <c r="H104" s="99"/>
      <c r="I104" s="330">
        <f>+MainSummary!I96</f>
        <v>208.59</v>
      </c>
      <c r="J104" s="294"/>
      <c r="K104" s="331">
        <f>+AJ104+MainSummary!K96</f>
        <v>1100.56</v>
      </c>
      <c r="L104" s="326"/>
      <c r="M104" s="331">
        <f>+MainSummary!M96</f>
        <v>752.7</v>
      </c>
      <c r="N104" s="294"/>
      <c r="O104" s="329"/>
      <c r="P104" s="326"/>
      <c r="Q104" s="464" t="e">
        <f>+MainSummary!#REF!</f>
        <v>#REF!</v>
      </c>
      <c r="R104" s="140"/>
      <c r="S104" s="443"/>
      <c r="T104" s="135">
        <f aca="true" t="shared" si="7" ref="T104:V105">+AF104-Z104</f>
        <v>39.78</v>
      </c>
      <c r="V104" s="135">
        <f t="shared" si="7"/>
        <v>2.2</v>
      </c>
      <c r="W104" s="115"/>
      <c r="X104" s="444">
        <f>+T104+V104</f>
        <v>41.980000000000004</v>
      </c>
      <c r="Z104" s="135">
        <f>+Z37</f>
        <v>34.06</v>
      </c>
      <c r="AB104" s="126">
        <f>+AB37</f>
        <v>0.98</v>
      </c>
      <c r="AD104" s="444">
        <f>+Z104+AB104</f>
        <v>35.04</v>
      </c>
      <c r="AF104" s="135">
        <v>73.84</v>
      </c>
      <c r="AH104" s="135">
        <f>+AH37</f>
        <v>3.18</v>
      </c>
      <c r="AJ104" s="444">
        <f>+AF104+AH104</f>
        <v>77.02000000000001</v>
      </c>
    </row>
    <row r="105" spans="1:40" ht="31.5">
      <c r="A105" s="139"/>
      <c r="B105" s="139"/>
      <c r="C105" s="550" t="s">
        <v>278</v>
      </c>
      <c r="D105" s="139"/>
      <c r="E105" s="554" t="e">
        <f>+I105-Q105</f>
        <v>#REF!</v>
      </c>
      <c r="F105" s="540"/>
      <c r="G105" s="555">
        <f>+X105+MainSummary!G97</f>
        <v>1996.25</v>
      </c>
      <c r="H105" s="540"/>
      <c r="I105" s="615">
        <f>+MainSummary!I97</f>
        <v>58.6</v>
      </c>
      <c r="J105" s="358"/>
      <c r="K105" s="556">
        <f>+AJ105+MainSummary!K97</f>
        <v>1856.02</v>
      </c>
      <c r="L105" s="359"/>
      <c r="M105" s="556">
        <f>+MainSummary!M97</f>
        <v>355.03</v>
      </c>
      <c r="N105" s="358"/>
      <c r="O105" s="355"/>
      <c r="P105" s="359"/>
      <c r="Q105" s="557" t="e">
        <f>+MainSummary!#REF!</f>
        <v>#REF!</v>
      </c>
      <c r="R105" s="553"/>
      <c r="S105" s="558"/>
      <c r="T105" s="551">
        <f t="shared" si="7"/>
        <v>0</v>
      </c>
      <c r="U105" s="83"/>
      <c r="V105" s="551">
        <f t="shared" si="7"/>
        <v>0</v>
      </c>
      <c r="W105" s="552"/>
      <c r="X105" s="559">
        <f>+T105+V105</f>
        <v>0</v>
      </c>
      <c r="Y105" s="83"/>
      <c r="Z105" s="551">
        <v>0</v>
      </c>
      <c r="AA105" s="83"/>
      <c r="AB105" s="560">
        <v>0</v>
      </c>
      <c r="AC105" s="83"/>
      <c r="AD105" s="559">
        <f>+Z105+AB105</f>
        <v>0</v>
      </c>
      <c r="AE105" s="83"/>
      <c r="AF105" s="551">
        <v>0</v>
      </c>
      <c r="AG105" s="83"/>
      <c r="AH105" s="551">
        <v>0</v>
      </c>
      <c r="AI105" s="83"/>
      <c r="AJ105" s="559">
        <f>+AF105+AH105</f>
        <v>0</v>
      </c>
      <c r="AK105" s="83"/>
      <c r="AL105" s="83"/>
      <c r="AM105" s="83"/>
      <c r="AN105" s="83"/>
    </row>
    <row r="106" spans="1:36" ht="17.25" customHeight="1" thickBot="1">
      <c r="A106" s="139"/>
      <c r="B106" s="139"/>
      <c r="C106" s="138" t="s">
        <v>273</v>
      </c>
      <c r="D106" s="138"/>
      <c r="E106" s="424" t="e">
        <f>+E102-E104+E105</f>
        <v>#REF!</v>
      </c>
      <c r="F106" s="138"/>
      <c r="G106" s="430">
        <f>+G102-G104+G105</f>
        <v>2371.1099999999997</v>
      </c>
      <c r="H106" s="138"/>
      <c r="I106" s="424">
        <f>+I102-I104+I105</f>
        <v>534.08</v>
      </c>
      <c r="J106" s="115"/>
      <c r="K106" s="430">
        <f>+K102-K104+K105</f>
        <v>2785.52</v>
      </c>
      <c r="L106" s="128"/>
      <c r="M106" s="430">
        <f>+M102-M104+M105</f>
        <v>1789.4699999999998</v>
      </c>
      <c r="N106" s="115"/>
      <c r="O106" s="128"/>
      <c r="P106" s="302"/>
      <c r="Q106" s="470" t="e">
        <f>+Q102-Q104+Q105</f>
        <v>#REF!</v>
      </c>
      <c r="R106" s="140"/>
      <c r="S106" s="443"/>
      <c r="T106" s="424">
        <f>+T102-T104+T105</f>
        <v>125.96000000000001</v>
      </c>
      <c r="V106" s="424">
        <f>+V102-V104+V105</f>
        <v>-13.350000000000051</v>
      </c>
      <c r="W106" s="128"/>
      <c r="X106" s="449">
        <f>+X102-X104+X105</f>
        <v>112.60999999999994</v>
      </c>
      <c r="Z106" s="424">
        <f>+Z102-Z104+Z105</f>
        <v>17.929999999999993</v>
      </c>
      <c r="AB106" s="516">
        <f>+AB102-AB104+AB105</f>
        <v>14.950000000000003</v>
      </c>
      <c r="AD106" s="449">
        <f>+AD102-AD104+AD105</f>
        <v>32.88</v>
      </c>
      <c r="AF106" s="424">
        <f>+AF102-AF104+AF105</f>
        <v>143.89</v>
      </c>
      <c r="AH106" s="424">
        <f>+AH102-AH104+AH105</f>
        <v>1.5999999999999512</v>
      </c>
      <c r="AJ106" s="449">
        <f>+AJ102-AJ104+AJ105</f>
        <v>145.48999999999992</v>
      </c>
    </row>
    <row r="107" spans="1:36" ht="9" customHeight="1" thickTop="1">
      <c r="A107" s="139"/>
      <c r="B107" s="139"/>
      <c r="C107" s="139"/>
      <c r="D107" s="139"/>
      <c r="E107" s="135"/>
      <c r="F107" s="139"/>
      <c r="G107" s="136"/>
      <c r="H107" s="139"/>
      <c r="I107" s="135"/>
      <c r="J107" s="115"/>
      <c r="K107" s="136"/>
      <c r="L107" s="115"/>
      <c r="M107" s="136"/>
      <c r="N107" s="115"/>
      <c r="O107" s="115"/>
      <c r="P107" s="302"/>
      <c r="Q107" s="464"/>
      <c r="R107" s="140"/>
      <c r="S107" s="443"/>
      <c r="T107" s="135"/>
      <c r="V107" s="135"/>
      <c r="W107" s="115"/>
      <c r="X107" s="444"/>
      <c r="Z107" s="135"/>
      <c r="AB107" s="126"/>
      <c r="AD107" s="444"/>
      <c r="AF107" s="135"/>
      <c r="AH107" s="135"/>
      <c r="AJ107" s="444"/>
    </row>
    <row r="108" spans="1:36" ht="15" customHeight="1">
      <c r="A108" s="139">
        <v>3</v>
      </c>
      <c r="B108" s="139"/>
      <c r="C108" s="111" t="s">
        <v>36</v>
      </c>
      <c r="D108" s="111"/>
      <c r="E108" s="135"/>
      <c r="F108" s="111"/>
      <c r="G108" s="136"/>
      <c r="H108" s="111"/>
      <c r="I108" s="135"/>
      <c r="J108" s="115"/>
      <c r="K108" s="136"/>
      <c r="L108" s="115"/>
      <c r="M108" s="135"/>
      <c r="N108" s="115"/>
      <c r="O108" s="115"/>
      <c r="P108" s="302"/>
      <c r="Q108" s="464"/>
      <c r="R108" s="140"/>
      <c r="S108" s="443"/>
      <c r="T108" s="135"/>
      <c r="V108" s="135"/>
      <c r="W108" s="115"/>
      <c r="X108" s="444"/>
      <c r="Z108" s="135"/>
      <c r="AB108" s="126"/>
      <c r="AD108" s="444"/>
      <c r="AF108" s="135"/>
      <c r="AH108" s="135"/>
      <c r="AJ108" s="444"/>
    </row>
    <row r="109" spans="1:36" ht="15" customHeight="1">
      <c r="A109" s="139"/>
      <c r="B109" s="139"/>
      <c r="C109" s="138" t="s">
        <v>37</v>
      </c>
      <c r="D109" s="138"/>
      <c r="E109" s="135"/>
      <c r="F109" s="138"/>
      <c r="G109" s="136"/>
      <c r="H109" s="138"/>
      <c r="I109" s="135"/>
      <c r="J109" s="115"/>
      <c r="K109" s="136"/>
      <c r="L109" s="115"/>
      <c r="M109" s="136"/>
      <c r="N109" s="115"/>
      <c r="O109" s="115"/>
      <c r="P109" s="302"/>
      <c r="Q109" s="464"/>
      <c r="R109" s="140"/>
      <c r="S109" s="443"/>
      <c r="T109" s="135"/>
      <c r="V109" s="135"/>
      <c r="W109" s="115"/>
      <c r="X109" s="444"/>
      <c r="Z109" s="135"/>
      <c r="AB109" s="126"/>
      <c r="AD109" s="444"/>
      <c r="AF109" s="135"/>
      <c r="AH109" s="135"/>
      <c r="AJ109" s="444"/>
    </row>
    <row r="110" spans="1:36" ht="15" customHeight="1">
      <c r="A110" s="139"/>
      <c r="B110" s="139"/>
      <c r="C110" s="139"/>
      <c r="D110" s="139"/>
      <c r="E110" s="135"/>
      <c r="F110" s="139"/>
      <c r="G110" s="136"/>
      <c r="H110" s="139"/>
      <c r="I110" s="135"/>
      <c r="J110" s="115"/>
      <c r="K110" s="136"/>
      <c r="L110" s="115"/>
      <c r="M110" s="136"/>
      <c r="N110" s="115"/>
      <c r="O110" s="115"/>
      <c r="P110" s="302"/>
      <c r="Q110" s="464"/>
      <c r="R110" s="140"/>
      <c r="S110" s="443"/>
      <c r="T110" s="135"/>
      <c r="V110" s="135"/>
      <c r="W110" s="115"/>
      <c r="X110" s="444"/>
      <c r="Z110" s="135"/>
      <c r="AB110" s="126"/>
      <c r="AD110" s="444"/>
      <c r="AF110" s="135"/>
      <c r="AH110" s="135"/>
      <c r="AJ110" s="444"/>
    </row>
    <row r="111" spans="1:36" ht="15" customHeight="1">
      <c r="A111" s="139"/>
      <c r="B111" s="139"/>
      <c r="C111" s="139" t="s">
        <v>168</v>
      </c>
      <c r="D111" s="139"/>
      <c r="E111" s="135">
        <f>+I111</f>
        <v>22414.93</v>
      </c>
      <c r="F111" s="139"/>
      <c r="G111" s="136">
        <f>+K111</f>
        <v>19951.48</v>
      </c>
      <c r="H111" s="139"/>
      <c r="I111" s="330">
        <f>+MainSummary!I103</f>
        <v>22414.93</v>
      </c>
      <c r="J111" s="115"/>
      <c r="K111" s="331">
        <f>+AH111+MainSummary!K103</f>
        <v>19951.48</v>
      </c>
      <c r="L111" s="115"/>
      <c r="M111" s="331">
        <f>+MainSummary!M103</f>
        <v>22414.93</v>
      </c>
      <c r="N111" s="115"/>
      <c r="O111" s="115"/>
      <c r="P111" s="302"/>
      <c r="Q111" s="464">
        <v>22730.67</v>
      </c>
      <c r="R111" s="140"/>
      <c r="S111" s="443"/>
      <c r="T111" s="135">
        <f>+AF111</f>
        <v>0</v>
      </c>
      <c r="V111" s="135">
        <f>+AH111</f>
        <v>1960.41</v>
      </c>
      <c r="W111" s="115"/>
      <c r="X111" s="444">
        <f aca="true" t="shared" si="8" ref="X111:X116">+T111+V111</f>
        <v>1960.41</v>
      </c>
      <c r="Z111" s="135">
        <v>0</v>
      </c>
      <c r="AB111" s="126">
        <v>1287.21</v>
      </c>
      <c r="AD111" s="444">
        <f aca="true" t="shared" si="9" ref="AD111:AD116">+Z111+AB111</f>
        <v>1287.21</v>
      </c>
      <c r="AF111" s="135">
        <v>0</v>
      </c>
      <c r="AH111" s="135">
        <v>1960.41</v>
      </c>
      <c r="AJ111" s="444">
        <f aca="true" t="shared" si="10" ref="AJ111:AJ116">+AF111+AH111</f>
        <v>1960.41</v>
      </c>
    </row>
    <row r="112" spans="1:36" ht="15" customHeight="1">
      <c r="A112" s="139"/>
      <c r="B112" s="139"/>
      <c r="C112" s="139" t="s">
        <v>33</v>
      </c>
      <c r="D112" s="139"/>
      <c r="E112" s="135">
        <f>+I112</f>
        <v>4127.16</v>
      </c>
      <c r="F112" s="139"/>
      <c r="G112" s="136">
        <f>+K112</f>
        <v>5026.49</v>
      </c>
      <c r="H112" s="139"/>
      <c r="I112" s="330">
        <f>+MainSummary!I104</f>
        <v>4127.16</v>
      </c>
      <c r="J112" s="115"/>
      <c r="K112" s="331">
        <f>+MainSummary!K104</f>
        <v>5026.49</v>
      </c>
      <c r="L112" s="115"/>
      <c r="M112" s="331">
        <f>+MainSummary!M104</f>
        <v>4127.16</v>
      </c>
      <c r="N112" s="115"/>
      <c r="O112" s="115"/>
      <c r="P112" s="302"/>
      <c r="Q112" s="464">
        <v>4294.61</v>
      </c>
      <c r="R112" s="140"/>
      <c r="S112" s="443"/>
      <c r="T112" s="135">
        <f>+AF112</f>
        <v>0</v>
      </c>
      <c r="V112" s="135">
        <f>+AH112</f>
        <v>0</v>
      </c>
      <c r="W112" s="115"/>
      <c r="X112" s="444">
        <f t="shared" si="8"/>
        <v>0</v>
      </c>
      <c r="Z112" s="135">
        <v>0</v>
      </c>
      <c r="AB112" s="126">
        <v>0</v>
      </c>
      <c r="AD112" s="444">
        <f t="shared" si="9"/>
        <v>0</v>
      </c>
      <c r="AF112" s="135">
        <v>0</v>
      </c>
      <c r="AH112" s="135">
        <v>0</v>
      </c>
      <c r="AJ112" s="444">
        <f t="shared" si="10"/>
        <v>0</v>
      </c>
    </row>
    <row r="113" spans="1:36" ht="15" customHeight="1">
      <c r="A113" s="139"/>
      <c r="B113" s="139"/>
      <c r="C113" s="139" t="s">
        <v>167</v>
      </c>
      <c r="D113" s="139"/>
      <c r="E113" s="135">
        <f>+I113</f>
        <v>1007.41</v>
      </c>
      <c r="F113" s="139"/>
      <c r="G113" s="136">
        <f>+K113</f>
        <v>903.84</v>
      </c>
      <c r="H113" s="139"/>
      <c r="I113" s="330">
        <f>+MainSummary!I105</f>
        <v>1007.41</v>
      </c>
      <c r="J113" s="115"/>
      <c r="K113" s="331">
        <f>+AF113</f>
        <v>903.84</v>
      </c>
      <c r="L113" s="115"/>
      <c r="M113" s="331">
        <f>+MainSummary!M105</f>
        <v>1007.41</v>
      </c>
      <c r="N113" s="115"/>
      <c r="O113" s="115"/>
      <c r="P113" s="302"/>
      <c r="Q113" s="464">
        <v>1361.75</v>
      </c>
      <c r="R113" s="140"/>
      <c r="S113" s="443"/>
      <c r="T113" s="135">
        <f>+AF113</f>
        <v>903.84</v>
      </c>
      <c r="V113" s="135">
        <f>+AH113</f>
        <v>0</v>
      </c>
      <c r="W113" s="115"/>
      <c r="X113" s="444">
        <f t="shared" si="8"/>
        <v>903.84</v>
      </c>
      <c r="Z113" s="135">
        <v>897.64</v>
      </c>
      <c r="AB113" s="126">
        <v>0</v>
      </c>
      <c r="AD113" s="444">
        <f t="shared" si="9"/>
        <v>897.64</v>
      </c>
      <c r="AF113" s="135">
        <v>903.84</v>
      </c>
      <c r="AH113" s="135">
        <v>0</v>
      </c>
      <c r="AJ113" s="444">
        <f t="shared" si="10"/>
        <v>903.84</v>
      </c>
    </row>
    <row r="114" spans="1:36" ht="15.75">
      <c r="A114" s="139"/>
      <c r="B114" s="139"/>
      <c r="C114" s="139" t="s">
        <v>166</v>
      </c>
      <c r="D114" s="139"/>
      <c r="E114" s="135">
        <f>+I114</f>
        <v>1691.84</v>
      </c>
      <c r="F114" s="139"/>
      <c r="G114" s="136">
        <f>+K114</f>
        <v>1522.72</v>
      </c>
      <c r="H114" s="139"/>
      <c r="I114" s="330">
        <f>+MainSummary!I106</f>
        <v>1691.84</v>
      </c>
      <c r="J114" s="115"/>
      <c r="K114" s="331">
        <f>+MainSummary!K106</f>
        <v>1522.72</v>
      </c>
      <c r="L114" s="115"/>
      <c r="M114" s="331">
        <f>+MainSummary!M106</f>
        <v>1691.84</v>
      </c>
      <c r="N114" s="115"/>
      <c r="O114" s="115"/>
      <c r="P114" s="302"/>
      <c r="Q114" s="464">
        <v>2135.11</v>
      </c>
      <c r="R114" s="140"/>
      <c r="S114" s="443"/>
      <c r="T114" s="135">
        <f>+AF114</f>
        <v>0</v>
      </c>
      <c r="V114" s="135">
        <f>+AH114</f>
        <v>0</v>
      </c>
      <c r="W114" s="115"/>
      <c r="X114" s="444">
        <f t="shared" si="8"/>
        <v>0</v>
      </c>
      <c r="Z114" s="135">
        <v>0</v>
      </c>
      <c r="AB114" s="126">
        <v>0</v>
      </c>
      <c r="AD114" s="444">
        <f t="shared" si="9"/>
        <v>0</v>
      </c>
      <c r="AF114" s="135">
        <v>0</v>
      </c>
      <c r="AH114" s="135">
        <v>0</v>
      </c>
      <c r="AJ114" s="444">
        <f t="shared" si="10"/>
        <v>0</v>
      </c>
    </row>
    <row r="115" spans="1:36" ht="15.75" hidden="1">
      <c r="A115" s="139"/>
      <c r="B115" s="139"/>
      <c r="C115" s="139" t="s">
        <v>200</v>
      </c>
      <c r="D115" s="139"/>
      <c r="E115" s="135"/>
      <c r="F115" s="139"/>
      <c r="G115" s="136"/>
      <c r="H115" s="139"/>
      <c r="I115" s="330">
        <f>+MainSummary!I107</f>
        <v>0</v>
      </c>
      <c r="J115" s="115"/>
      <c r="K115" s="331">
        <f>+MainSummary!K107</f>
        <v>0</v>
      </c>
      <c r="L115" s="115"/>
      <c r="M115" s="331">
        <f>+MainSummary!M107</f>
        <v>0</v>
      </c>
      <c r="N115" s="115"/>
      <c r="O115" s="115"/>
      <c r="P115" s="302"/>
      <c r="Q115" s="464"/>
      <c r="R115" s="140"/>
      <c r="S115" s="443"/>
      <c r="T115" s="135">
        <f>+Z115</f>
        <v>0</v>
      </c>
      <c r="V115" s="135">
        <f>+AB115</f>
        <v>0</v>
      </c>
      <c r="W115" s="115"/>
      <c r="X115" s="444"/>
      <c r="Z115" s="135">
        <f>+AF115</f>
        <v>0</v>
      </c>
      <c r="AB115" s="126">
        <f>+AH115</f>
        <v>0</v>
      </c>
      <c r="AD115" s="444"/>
      <c r="AF115" s="135"/>
      <c r="AH115" s="135"/>
      <c r="AJ115" s="444"/>
    </row>
    <row r="116" spans="1:36" ht="15" customHeight="1">
      <c r="A116" s="139"/>
      <c r="B116" s="139"/>
      <c r="C116" s="139" t="s">
        <v>198</v>
      </c>
      <c r="D116" s="139"/>
      <c r="E116" s="135">
        <f>+I116</f>
        <v>-2114.22</v>
      </c>
      <c r="F116" s="139"/>
      <c r="G116" s="136">
        <f>+K116</f>
        <v>869.77</v>
      </c>
      <c r="H116" s="139"/>
      <c r="I116" s="330">
        <f>+MainSummary!I108</f>
        <v>-2114.22</v>
      </c>
      <c r="J116" s="115"/>
      <c r="K116" s="331">
        <f>+MainSummary!K108</f>
        <v>869.77</v>
      </c>
      <c r="L116" s="115"/>
      <c r="M116" s="331">
        <f>+MainSummary!M108</f>
        <v>-2114.22</v>
      </c>
      <c r="N116" s="115"/>
      <c r="O116" s="115"/>
      <c r="P116" s="302"/>
      <c r="Q116" s="464">
        <v>-1662.86</v>
      </c>
      <c r="R116" s="140"/>
      <c r="S116" s="443"/>
      <c r="T116" s="135">
        <f>+AF116</f>
        <v>0</v>
      </c>
      <c r="V116" s="135">
        <f>+AH116</f>
        <v>0</v>
      </c>
      <c r="W116" s="115"/>
      <c r="X116" s="444">
        <f t="shared" si="8"/>
        <v>0</v>
      </c>
      <c r="Z116" s="135">
        <v>0</v>
      </c>
      <c r="AB116" s="126">
        <v>0</v>
      </c>
      <c r="AD116" s="444">
        <f t="shared" si="9"/>
        <v>0</v>
      </c>
      <c r="AF116" s="135">
        <v>0</v>
      </c>
      <c r="AH116" s="135">
        <v>0</v>
      </c>
      <c r="AJ116" s="444">
        <f t="shared" si="10"/>
        <v>0</v>
      </c>
    </row>
    <row r="117" spans="1:36" ht="15" customHeight="1" thickBot="1">
      <c r="A117" s="139"/>
      <c r="B117" s="139"/>
      <c r="C117" s="139"/>
      <c r="D117" s="139"/>
      <c r="E117" s="424">
        <f>SUM(E111:E116)</f>
        <v>27127.12</v>
      </c>
      <c r="F117" s="139"/>
      <c r="G117" s="430">
        <f>SUM(G111:G116)</f>
        <v>28274.300000000003</v>
      </c>
      <c r="H117" s="139"/>
      <c r="I117" s="424">
        <f>SUM(I111:I116)</f>
        <v>27127.12</v>
      </c>
      <c r="J117" s="115"/>
      <c r="K117" s="430">
        <f>SUM(K111:K116)</f>
        <v>28274.300000000003</v>
      </c>
      <c r="L117" s="128"/>
      <c r="M117" s="430">
        <f>SUM(M111:M116)</f>
        <v>27127.12</v>
      </c>
      <c r="N117" s="115"/>
      <c r="O117" s="128"/>
      <c r="P117" s="302"/>
      <c r="Q117" s="470">
        <f>SUM(Q111:Q116)</f>
        <v>28859.28</v>
      </c>
      <c r="R117" s="140"/>
      <c r="S117" s="443"/>
      <c r="T117" s="424">
        <f>SUM(T111:T116)</f>
        <v>903.84</v>
      </c>
      <c r="V117" s="424">
        <f>SUM(V111:V116)</f>
        <v>1960.41</v>
      </c>
      <c r="W117" s="128"/>
      <c r="X117" s="449">
        <f>SUM(X111:X116)</f>
        <v>2864.25</v>
      </c>
      <c r="Z117" s="424">
        <f>SUM(Z111:Z116)</f>
        <v>897.64</v>
      </c>
      <c r="AB117" s="516">
        <f>SUM(AB111:AB116)</f>
        <v>1287.21</v>
      </c>
      <c r="AD117" s="449">
        <f>SUM(AD111:AD116)</f>
        <v>2184.85</v>
      </c>
      <c r="AF117" s="424">
        <f>SUM(AF111:AF116)</f>
        <v>903.84</v>
      </c>
      <c r="AH117" s="424">
        <f>SUM(AH111:AH116)</f>
        <v>1960.41</v>
      </c>
      <c r="AJ117" s="449">
        <f>SUM(AJ111:AJ116)</f>
        <v>2864.25</v>
      </c>
    </row>
    <row r="118" spans="1:36" ht="15" customHeight="1" thickBot="1" thickTop="1">
      <c r="A118" s="139"/>
      <c r="B118" s="139"/>
      <c r="C118" s="139"/>
      <c r="D118" s="139"/>
      <c r="E118" s="425"/>
      <c r="F118" s="139"/>
      <c r="G118" s="437"/>
      <c r="H118" s="139"/>
      <c r="I118" s="425"/>
      <c r="J118" s="426"/>
      <c r="K118" s="431"/>
      <c r="L118" s="432"/>
      <c r="M118" s="433"/>
      <c r="N118" s="140"/>
      <c r="O118" s="308"/>
      <c r="P118" s="309"/>
      <c r="Q118" s="479"/>
      <c r="R118" s="140"/>
      <c r="S118" s="443"/>
      <c r="T118" s="433"/>
      <c r="V118" s="433"/>
      <c r="W118" s="308"/>
      <c r="X118" s="452"/>
      <c r="Z118" s="433"/>
      <c r="AB118" s="433"/>
      <c r="AD118" s="452"/>
      <c r="AF118" s="433"/>
      <c r="AH118" s="433"/>
      <c r="AJ118" s="452"/>
    </row>
    <row r="119" spans="1:36" ht="15" customHeight="1">
      <c r="A119" s="113"/>
      <c r="B119" s="113"/>
      <c r="C119" s="113"/>
      <c r="D119" s="113"/>
      <c r="E119" s="113"/>
      <c r="F119" s="113"/>
      <c r="G119" s="113"/>
      <c r="H119" s="113"/>
      <c r="I119" s="277"/>
      <c r="J119" s="113"/>
      <c r="K119" s="109"/>
      <c r="L119" s="113"/>
      <c r="M119" s="143"/>
      <c r="N119" s="113"/>
      <c r="O119" s="143"/>
      <c r="P119" s="144"/>
      <c r="Q119" s="279"/>
      <c r="R119" s="113"/>
      <c r="S119" s="113"/>
      <c r="T119" s="279"/>
      <c r="V119" s="279"/>
      <c r="W119" s="279"/>
      <c r="X119" s="279"/>
      <c r="Z119" s="279"/>
      <c r="AB119" s="279"/>
      <c r="AD119" s="279"/>
      <c r="AF119" s="279"/>
      <c r="AH119" s="279"/>
      <c r="AJ119" s="279"/>
    </row>
    <row r="120" spans="1:19" ht="4.5" customHeight="1">
      <c r="A120" s="113"/>
      <c r="B120" s="113"/>
      <c r="C120" s="113"/>
      <c r="D120" s="113"/>
      <c r="E120" s="113"/>
      <c r="F120" s="113"/>
      <c r="G120" s="113"/>
      <c r="H120" s="113"/>
      <c r="I120" s="277"/>
      <c r="J120" s="113"/>
      <c r="K120" s="109"/>
      <c r="L120" s="113"/>
      <c r="M120" s="108"/>
      <c r="N120" s="113"/>
      <c r="O120" s="108"/>
      <c r="P120" s="144"/>
      <c r="R120" s="113"/>
      <c r="S120" s="113"/>
    </row>
    <row r="121" spans="1:24" ht="15" customHeight="1" hidden="1">
      <c r="A121" s="113"/>
      <c r="B121" s="113"/>
      <c r="C121" s="139"/>
      <c r="D121" s="139"/>
      <c r="E121" s="139"/>
      <c r="F121" s="139"/>
      <c r="G121" s="139"/>
      <c r="H121" s="139"/>
      <c r="I121" s="278"/>
      <c r="J121" s="139"/>
      <c r="K121" s="4"/>
      <c r="L121" s="139"/>
      <c r="M121" s="108"/>
      <c r="N121" s="139"/>
      <c r="O121" s="108"/>
      <c r="P121" s="276"/>
      <c r="Q121" s="108"/>
      <c r="R121" s="113"/>
      <c r="S121" s="113"/>
      <c r="T121" s="108"/>
      <c r="V121" s="108"/>
      <c r="W121" s="108"/>
      <c r="X121" s="108"/>
    </row>
    <row r="122" spans="1:24" ht="15" customHeight="1" hidden="1">
      <c r="A122" s="23"/>
      <c r="C122" s="281" t="s">
        <v>228</v>
      </c>
      <c r="D122" s="139"/>
      <c r="E122" s="139"/>
      <c r="F122" s="139"/>
      <c r="G122" s="139"/>
      <c r="H122" s="139"/>
      <c r="I122" s="278"/>
      <c r="J122" s="139"/>
      <c r="K122" s="4"/>
      <c r="L122" s="139"/>
      <c r="M122" s="108"/>
      <c r="N122" s="139"/>
      <c r="O122" s="108"/>
      <c r="P122" s="276"/>
      <c r="Q122" s="108"/>
      <c r="R122" s="113"/>
      <c r="S122" s="113"/>
      <c r="T122" s="108"/>
      <c r="V122" s="108"/>
      <c r="W122" s="108"/>
      <c r="X122" s="108"/>
    </row>
    <row r="123" spans="1:24" ht="15" customHeight="1" hidden="1">
      <c r="A123" s="23"/>
      <c r="C123" s="281" t="s">
        <v>179</v>
      </c>
      <c r="D123" s="139"/>
      <c r="E123" s="139"/>
      <c r="F123" s="139"/>
      <c r="G123" s="139"/>
      <c r="H123" s="139"/>
      <c r="I123" s="278"/>
      <c r="J123" s="139"/>
      <c r="K123" s="4"/>
      <c r="L123" s="139"/>
      <c r="M123" s="108"/>
      <c r="N123" s="139"/>
      <c r="O123" s="108"/>
      <c r="P123" s="276"/>
      <c r="Q123" s="108"/>
      <c r="R123" s="113"/>
      <c r="S123" s="113"/>
      <c r="T123" s="108"/>
      <c r="V123" s="108"/>
      <c r="W123" s="108"/>
      <c r="X123" s="108"/>
    </row>
    <row r="124" spans="1:24" ht="15" customHeight="1" hidden="1">
      <c r="A124" s="113"/>
      <c r="B124" s="113"/>
      <c r="C124" s="281" t="s">
        <v>197</v>
      </c>
      <c r="D124" s="139"/>
      <c r="E124" s="139"/>
      <c r="F124" s="139"/>
      <c r="G124" s="139"/>
      <c r="H124" s="139"/>
      <c r="I124" s="278"/>
      <c r="J124" s="139"/>
      <c r="K124" s="4"/>
      <c r="L124" s="139"/>
      <c r="M124" s="108"/>
      <c r="N124" s="139"/>
      <c r="O124" s="108"/>
      <c r="P124" s="276"/>
      <c r="Q124" s="108"/>
      <c r="R124" s="113"/>
      <c r="S124" s="113"/>
      <c r="T124" s="108"/>
      <c r="V124" s="108"/>
      <c r="W124" s="108"/>
      <c r="X124" s="108"/>
    </row>
    <row r="125" spans="1:24" ht="15" customHeight="1" hidden="1">
      <c r="A125" s="113"/>
      <c r="B125" s="113"/>
      <c r="C125" s="281" t="s">
        <v>229</v>
      </c>
      <c r="D125" s="139"/>
      <c r="E125" s="139"/>
      <c r="F125" s="139"/>
      <c r="G125" s="139"/>
      <c r="H125" s="139"/>
      <c r="I125" s="278"/>
      <c r="J125" s="139"/>
      <c r="K125" s="4"/>
      <c r="L125" s="139"/>
      <c r="M125" s="108"/>
      <c r="N125" s="139"/>
      <c r="O125" s="108"/>
      <c r="P125" s="276"/>
      <c r="Q125" s="108"/>
      <c r="R125" s="113"/>
      <c r="S125" s="113"/>
      <c r="T125" s="108"/>
      <c r="V125" s="108"/>
      <c r="W125" s="108"/>
      <c r="X125" s="108"/>
    </row>
    <row r="126" spans="1:24" ht="15" customHeight="1">
      <c r="A126" s="113"/>
      <c r="B126" s="113"/>
      <c r="C126" s="281"/>
      <c r="D126" s="139"/>
      <c r="E126" s="139"/>
      <c r="F126" s="139"/>
      <c r="G126" s="139"/>
      <c r="H126" s="139"/>
      <c r="I126" s="278"/>
      <c r="J126" s="139"/>
      <c r="K126" s="4"/>
      <c r="L126" s="139"/>
      <c r="M126" s="108"/>
      <c r="N126" s="139"/>
      <c r="O126" s="108"/>
      <c r="P126" s="276"/>
      <c r="Q126" s="108"/>
      <c r="R126" s="113"/>
      <c r="S126" s="113"/>
      <c r="T126" s="108"/>
      <c r="V126" s="108"/>
      <c r="W126" s="108"/>
      <c r="X126" s="108"/>
    </row>
    <row r="127" spans="1:19" ht="15" customHeight="1">
      <c r="A127" s="113"/>
      <c r="B127" s="113"/>
      <c r="C127" s="139"/>
      <c r="D127" s="139"/>
      <c r="E127" s="139"/>
      <c r="F127" s="139"/>
      <c r="G127" s="139"/>
      <c r="H127" s="139"/>
      <c r="I127" s="139"/>
      <c r="J127" s="139"/>
      <c r="K127" s="4"/>
      <c r="L127" s="139"/>
      <c r="M127" s="108" t="s">
        <v>38</v>
      </c>
      <c r="N127" s="139"/>
      <c r="O127" s="108"/>
      <c r="P127" s="276"/>
      <c r="R127" s="113"/>
      <c r="S127" s="113"/>
    </row>
    <row r="128" spans="1:24" ht="12" customHeight="1">
      <c r="A128" s="113"/>
      <c r="B128" s="113"/>
      <c r="C128" s="139"/>
      <c r="D128" s="139"/>
      <c r="E128" s="139"/>
      <c r="F128" s="139"/>
      <c r="G128" s="139"/>
      <c r="H128" s="139"/>
      <c r="I128" s="139"/>
      <c r="J128" s="139"/>
      <c r="K128" s="4"/>
      <c r="L128" s="139"/>
      <c r="M128" s="108"/>
      <c r="N128" s="139"/>
      <c r="O128" s="108"/>
      <c r="P128" s="276"/>
      <c r="Q128" s="108"/>
      <c r="R128" s="113"/>
      <c r="S128" s="113"/>
      <c r="T128" s="108"/>
      <c r="V128" s="108"/>
      <c r="W128" s="108"/>
      <c r="X128" s="108"/>
    </row>
    <row r="129" spans="1:24" ht="12" customHeight="1">
      <c r="A129" s="113"/>
      <c r="B129" s="113"/>
      <c r="C129" s="139"/>
      <c r="D129" s="139"/>
      <c r="E129" s="139"/>
      <c r="F129" s="139"/>
      <c r="G129" s="139"/>
      <c r="H129" s="139"/>
      <c r="I129" s="139"/>
      <c r="J129" s="139"/>
      <c r="K129" s="4"/>
      <c r="L129" s="139"/>
      <c r="M129" s="108"/>
      <c r="N129" s="139"/>
      <c r="O129" s="108"/>
      <c r="P129" s="276"/>
      <c r="Q129" s="108"/>
      <c r="R129" s="113"/>
      <c r="S129" s="113"/>
      <c r="T129" s="108"/>
      <c r="V129" s="108"/>
      <c r="W129" s="108"/>
      <c r="X129" s="108"/>
    </row>
    <row r="130" spans="1:24" ht="15.75">
      <c r="A130" s="24" t="s">
        <v>78</v>
      </c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8"/>
      <c r="N130" s="28"/>
      <c r="O130" s="108"/>
      <c r="P130" s="276"/>
      <c r="Q130" s="108"/>
      <c r="R130" s="113"/>
      <c r="S130" s="113"/>
      <c r="T130" s="108"/>
      <c r="V130" s="108"/>
      <c r="W130" s="108"/>
      <c r="X130" s="108"/>
    </row>
    <row r="131" spans="1:13" s="4" customFormat="1" ht="15.75">
      <c r="A131" s="151">
        <v>1</v>
      </c>
      <c r="B131" s="27"/>
      <c r="C131" s="17" t="s">
        <v>299</v>
      </c>
      <c r="D131" s="27"/>
      <c r="E131" s="27"/>
      <c r="F131" s="27"/>
      <c r="G131" s="27"/>
      <c r="H131" s="27"/>
      <c r="I131" s="27"/>
      <c r="J131" s="27"/>
      <c r="K131" s="27"/>
      <c r="L131" s="27"/>
      <c r="M131" s="28"/>
    </row>
    <row r="132" spans="1:13" s="4" customFormat="1" ht="15.75">
      <c r="A132" s="151"/>
      <c r="B132" s="27"/>
      <c r="C132" s="39" t="s">
        <v>314</v>
      </c>
      <c r="D132" s="27"/>
      <c r="E132" s="27"/>
      <c r="F132" s="27"/>
      <c r="G132" s="27"/>
      <c r="H132" s="27"/>
      <c r="I132" s="27"/>
      <c r="J132" s="27"/>
      <c r="K132" s="27"/>
      <c r="L132" s="27"/>
      <c r="M132" s="28"/>
    </row>
    <row r="133" spans="1:13" s="4" customFormat="1" ht="15.75">
      <c r="A133" s="151"/>
      <c r="B133" s="27"/>
      <c r="C133" s="39" t="s">
        <v>300</v>
      </c>
      <c r="D133" s="27"/>
      <c r="E133" s="27"/>
      <c r="F133" s="27"/>
      <c r="G133" s="27"/>
      <c r="H133" s="27"/>
      <c r="I133" s="27"/>
      <c r="J133" s="27"/>
      <c r="K133" s="27"/>
      <c r="L133" s="27"/>
      <c r="M133" s="28"/>
    </row>
    <row r="134" spans="1:13" s="4" customFormat="1" ht="5.25" customHeight="1">
      <c r="A134" s="24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8"/>
    </row>
    <row r="135" spans="1:9" s="4" customFormat="1" ht="15.75">
      <c r="A135" s="173">
        <f>+A131+1</f>
        <v>2</v>
      </c>
      <c r="B135" s="10"/>
      <c r="C135" s="174" t="s">
        <v>183</v>
      </c>
      <c r="D135" s="174"/>
      <c r="E135" s="174"/>
      <c r="F135" s="174"/>
      <c r="G135" s="174"/>
      <c r="H135" s="174"/>
      <c r="I135" s="174"/>
    </row>
    <row r="136" spans="1:9" s="4" customFormat="1" ht="15.75">
      <c r="A136" s="173"/>
      <c r="B136" s="10"/>
      <c r="C136" s="174" t="s">
        <v>189</v>
      </c>
      <c r="D136" s="174"/>
      <c r="E136" s="174"/>
      <c r="F136" s="174"/>
      <c r="G136" s="174"/>
      <c r="H136" s="174"/>
      <c r="I136" s="174"/>
    </row>
    <row r="137" spans="1:9" s="4" customFormat="1" ht="15.75">
      <c r="A137" s="173"/>
      <c r="B137" s="10"/>
      <c r="C137" s="174" t="s">
        <v>188</v>
      </c>
      <c r="D137" s="174"/>
      <c r="E137" s="174"/>
      <c r="F137" s="174"/>
      <c r="G137" s="174"/>
      <c r="H137" s="174"/>
      <c r="I137" s="174"/>
    </row>
    <row r="138" spans="1:9" s="4" customFormat="1" ht="5.25" customHeight="1">
      <c r="A138" s="173"/>
      <c r="B138" s="10"/>
      <c r="C138" s="174"/>
      <c r="D138" s="174"/>
      <c r="E138" s="174"/>
      <c r="F138" s="174"/>
      <c r="G138" s="174"/>
      <c r="H138" s="174"/>
      <c r="I138" s="174"/>
    </row>
    <row r="139" spans="1:9" s="4" customFormat="1" ht="15.75">
      <c r="A139" s="173">
        <f>+A135+1</f>
        <v>3</v>
      </c>
      <c r="B139" s="10"/>
      <c r="C139" s="174" t="s">
        <v>313</v>
      </c>
      <c r="D139" s="174"/>
      <c r="E139" s="174"/>
      <c r="F139" s="174"/>
      <c r="G139" s="174"/>
      <c r="H139" s="174"/>
      <c r="I139" s="174"/>
    </row>
    <row r="140" spans="1:9" s="4" customFormat="1" ht="15.75">
      <c r="A140" s="173"/>
      <c r="B140" s="10"/>
      <c r="C140" s="174" t="s">
        <v>306</v>
      </c>
      <c r="D140" s="174"/>
      <c r="E140" s="174"/>
      <c r="F140" s="174"/>
      <c r="G140" s="174"/>
      <c r="H140" s="174"/>
      <c r="I140" s="174"/>
    </row>
    <row r="141" spans="1:9" s="4" customFormat="1" ht="15.75">
      <c r="A141" s="173"/>
      <c r="B141" s="10"/>
      <c r="C141" s="174" t="s">
        <v>307</v>
      </c>
      <c r="D141" s="174"/>
      <c r="E141" s="174"/>
      <c r="F141" s="174"/>
      <c r="G141" s="174"/>
      <c r="H141" s="174"/>
      <c r="I141" s="174"/>
    </row>
    <row r="142" spans="1:9" s="4" customFormat="1" ht="5.25" customHeight="1">
      <c r="A142" s="173"/>
      <c r="B142" s="10"/>
      <c r="C142" s="174"/>
      <c r="D142" s="174"/>
      <c r="E142" s="174"/>
      <c r="F142" s="174"/>
      <c r="G142" s="174"/>
      <c r="H142" s="174"/>
      <c r="I142" s="174"/>
    </row>
    <row r="143" spans="1:9" s="4" customFormat="1" ht="15.75">
      <c r="A143" s="173">
        <f>+A139+1</f>
        <v>4</v>
      </c>
      <c r="B143" s="10"/>
      <c r="C143" s="174" t="s">
        <v>242</v>
      </c>
      <c r="D143" s="174"/>
      <c r="E143" s="174"/>
      <c r="F143" s="174"/>
      <c r="G143" s="174"/>
      <c r="H143" s="174"/>
      <c r="I143" s="174"/>
    </row>
    <row r="144" spans="1:9" s="4" customFormat="1" ht="15.75">
      <c r="A144" s="173"/>
      <c r="B144" s="10"/>
      <c r="C144" s="174" t="s">
        <v>243</v>
      </c>
      <c r="D144" s="174"/>
      <c r="E144" s="174"/>
      <c r="F144" s="174"/>
      <c r="G144" s="174"/>
      <c r="H144" s="174"/>
      <c r="I144" s="174"/>
    </row>
    <row r="145" spans="1:9" s="4" customFormat="1" ht="15.75">
      <c r="A145" s="173"/>
      <c r="B145" s="10"/>
      <c r="C145" s="174" t="s">
        <v>301</v>
      </c>
      <c r="D145" s="174"/>
      <c r="E145" s="174"/>
      <c r="F145" s="174"/>
      <c r="G145" s="174"/>
      <c r="H145" s="174"/>
      <c r="I145" s="174"/>
    </row>
    <row r="146" spans="1:9" s="4" customFormat="1" ht="15.75">
      <c r="A146" s="173"/>
      <c r="B146" s="10"/>
      <c r="C146" s="174" t="s">
        <v>302</v>
      </c>
      <c r="D146" s="174"/>
      <c r="E146" s="174"/>
      <c r="F146" s="174"/>
      <c r="G146" s="174"/>
      <c r="H146" s="174"/>
      <c r="I146" s="174"/>
    </row>
    <row r="147" spans="1:9" s="4" customFormat="1" ht="15.75">
      <c r="A147" s="173"/>
      <c r="B147" s="10"/>
      <c r="C147" s="174" t="s">
        <v>303</v>
      </c>
      <c r="D147" s="174"/>
      <c r="E147" s="174"/>
      <c r="F147" s="174"/>
      <c r="G147" s="174"/>
      <c r="H147" s="174"/>
      <c r="I147" s="174"/>
    </row>
    <row r="148" spans="1:9" s="4" customFormat="1" ht="15.75">
      <c r="A148" s="173"/>
      <c r="B148" s="10"/>
      <c r="C148" s="174" t="s">
        <v>318</v>
      </c>
      <c r="D148" s="174"/>
      <c r="E148" s="174"/>
      <c r="F148" s="174"/>
      <c r="G148" s="174"/>
      <c r="H148" s="174"/>
      <c r="I148" s="174"/>
    </row>
    <row r="149" spans="1:9" s="4" customFormat="1" ht="5.25" customHeight="1">
      <c r="A149" s="173"/>
      <c r="B149" s="10"/>
      <c r="C149" s="174"/>
      <c r="D149" s="174"/>
      <c r="E149" s="174"/>
      <c r="F149" s="174"/>
      <c r="G149" s="174"/>
      <c r="H149" s="174"/>
      <c r="I149" s="174"/>
    </row>
    <row r="150" spans="1:13" s="4" customFormat="1" ht="15.75">
      <c r="A150" s="151">
        <f>+A143+1</f>
        <v>5</v>
      </c>
      <c r="B150" s="11"/>
      <c r="C150" s="154" t="s">
        <v>184</v>
      </c>
      <c r="D150" s="154"/>
      <c r="E150" s="154"/>
      <c r="F150" s="154"/>
      <c r="G150" s="154"/>
      <c r="H150" s="154"/>
      <c r="I150" s="154"/>
      <c r="J150" s="154"/>
      <c r="K150" s="154"/>
      <c r="L150" s="155"/>
      <c r="M150" s="155"/>
    </row>
    <row r="151" spans="1:13" s="4" customFormat="1" ht="15.75">
      <c r="A151" s="151"/>
      <c r="B151" s="11"/>
      <c r="C151" s="154" t="s">
        <v>185</v>
      </c>
      <c r="D151" s="154"/>
      <c r="E151" s="154"/>
      <c r="F151" s="154"/>
      <c r="G151" s="154"/>
      <c r="H151" s="154"/>
      <c r="I151" s="154"/>
      <c r="J151" s="154"/>
      <c r="K151" s="154"/>
      <c r="L151" s="155"/>
      <c r="M151" s="155"/>
    </row>
    <row r="152" spans="1:13" s="4" customFormat="1" ht="15.75">
      <c r="A152" s="156"/>
      <c r="B152" s="11"/>
      <c r="C152" s="344" t="s">
        <v>177</v>
      </c>
      <c r="D152" s="154"/>
      <c r="E152" s="154"/>
      <c r="F152" s="154"/>
      <c r="G152" s="154"/>
      <c r="H152" s="154"/>
      <c r="I152" s="154"/>
      <c r="J152" s="154"/>
      <c r="K152" s="154"/>
      <c r="L152" s="155"/>
      <c r="M152" s="155"/>
    </row>
    <row r="153" spans="1:13" s="4" customFormat="1" ht="5.25" customHeight="1">
      <c r="A153" s="153"/>
      <c r="B153" s="10"/>
      <c r="C153" s="10"/>
      <c r="D153" s="154"/>
      <c r="E153" s="154"/>
      <c r="F153" s="154"/>
      <c r="G153" s="154"/>
      <c r="H153" s="154"/>
      <c r="I153" s="154"/>
      <c r="J153" s="154"/>
      <c r="K153" s="154"/>
      <c r="L153" s="154"/>
      <c r="M153" s="154"/>
    </row>
    <row r="154" spans="1:13" s="4" customFormat="1" ht="15.75">
      <c r="A154" s="153"/>
      <c r="B154" s="10"/>
      <c r="C154" s="157"/>
      <c r="D154" s="157"/>
      <c r="E154" s="157"/>
      <c r="F154" s="157"/>
      <c r="G154" s="161"/>
      <c r="H154" s="161"/>
      <c r="I154" s="161"/>
      <c r="J154" s="32"/>
      <c r="K154" s="32"/>
      <c r="L154" s="158"/>
      <c r="M154" s="160"/>
    </row>
    <row r="155" spans="1:13" s="4" customFormat="1" ht="15.75">
      <c r="A155" s="153"/>
      <c r="B155" s="10"/>
      <c r="C155" s="157"/>
      <c r="D155" s="157"/>
      <c r="E155" s="26" t="s">
        <v>66</v>
      </c>
      <c r="F155" s="157"/>
      <c r="G155" s="158" t="s">
        <v>87</v>
      </c>
      <c r="H155" s="164"/>
      <c r="I155" s="10"/>
      <c r="J155" s="32"/>
      <c r="K155" s="10"/>
      <c r="L155" s="10"/>
      <c r="M155" s="10"/>
    </row>
    <row r="156" spans="1:13" s="4" customFormat="1" ht="16.5" thickBot="1">
      <c r="A156" s="153"/>
      <c r="B156" s="10"/>
      <c r="C156" s="162" t="s">
        <v>88</v>
      </c>
      <c r="D156" s="161"/>
      <c r="E156" s="102" t="s">
        <v>89</v>
      </c>
      <c r="F156" s="161"/>
      <c r="G156" s="163" t="s">
        <v>158</v>
      </c>
      <c r="H156" s="164"/>
      <c r="I156" s="10"/>
      <c r="J156" s="32"/>
      <c r="K156" s="10"/>
      <c r="L156" s="10"/>
      <c r="M156" s="10"/>
    </row>
    <row r="157" spans="1:13" s="4" customFormat="1" ht="6" customHeight="1">
      <c r="A157" s="153"/>
      <c r="B157" s="10"/>
      <c r="C157" s="157"/>
      <c r="D157" s="157"/>
      <c r="E157" s="39"/>
      <c r="F157" s="157"/>
      <c r="G157" s="154"/>
      <c r="H157" s="38"/>
      <c r="I157" s="10"/>
      <c r="J157" s="32"/>
      <c r="K157" s="10"/>
      <c r="L157" s="10"/>
      <c r="M157" s="10"/>
    </row>
    <row r="158" spans="1:13" s="4" customFormat="1" ht="15.75">
      <c r="A158" s="153"/>
      <c r="B158" s="10"/>
      <c r="C158" s="165" t="s">
        <v>178</v>
      </c>
      <c r="D158" s="165"/>
      <c r="E158" s="360">
        <v>847.5</v>
      </c>
      <c r="F158" s="165"/>
      <c r="G158" s="154" t="s">
        <v>159</v>
      </c>
      <c r="H158" s="38"/>
      <c r="I158" s="10"/>
      <c r="J158" s="32"/>
      <c r="K158" s="10"/>
      <c r="L158" s="10"/>
      <c r="M158" s="10"/>
    </row>
    <row r="159" spans="1:13" s="4" customFormat="1" ht="15.75">
      <c r="A159" s="153"/>
      <c r="B159" s="10"/>
      <c r="C159" s="165" t="s">
        <v>169</v>
      </c>
      <c r="D159" s="165"/>
      <c r="E159" s="39"/>
      <c r="F159" s="165"/>
      <c r="G159" s="154" t="s">
        <v>160</v>
      </c>
      <c r="H159" s="38"/>
      <c r="I159" s="10"/>
      <c r="J159" s="32"/>
      <c r="K159" s="10"/>
      <c r="L159" s="10"/>
      <c r="M159" s="10"/>
    </row>
    <row r="160" spans="1:13" s="4" customFormat="1" ht="15.75">
      <c r="A160" s="153"/>
      <c r="B160" s="10"/>
      <c r="C160" s="165" t="s">
        <v>170</v>
      </c>
      <c r="D160" s="165"/>
      <c r="E160" s="10"/>
      <c r="F160" s="165"/>
      <c r="G160" s="154" t="s">
        <v>161</v>
      </c>
      <c r="H160" s="38"/>
      <c r="I160" s="10"/>
      <c r="J160" s="32"/>
      <c r="K160" s="10"/>
      <c r="L160" s="10"/>
      <c r="M160" s="10"/>
    </row>
    <row r="161" spans="1:13" s="4" customFormat="1" ht="15.75">
      <c r="A161" s="153"/>
      <c r="B161" s="10"/>
      <c r="C161" s="165"/>
      <c r="D161" s="165"/>
      <c r="E161" s="10"/>
      <c r="F161" s="165"/>
      <c r="G161" s="154" t="s">
        <v>162</v>
      </c>
      <c r="H161" s="38"/>
      <c r="I161" s="10"/>
      <c r="J161" s="32"/>
      <c r="K161" s="10"/>
      <c r="L161" s="10"/>
      <c r="M161" s="10"/>
    </row>
    <row r="162" spans="1:13" s="4" customFormat="1" ht="6" customHeight="1">
      <c r="A162" s="153"/>
      <c r="B162" s="10"/>
      <c r="C162" s="10"/>
      <c r="D162" s="165"/>
      <c r="E162" s="39"/>
      <c r="F162" s="165"/>
      <c r="G162" s="39"/>
      <c r="H162" s="38"/>
      <c r="I162" s="10"/>
      <c r="J162" s="32"/>
      <c r="K162" s="10"/>
      <c r="L162" s="10"/>
      <c r="M162" s="10"/>
    </row>
    <row r="163" spans="1:13" s="4" customFormat="1" ht="15.75">
      <c r="A163" s="153"/>
      <c r="B163" s="10"/>
      <c r="C163" s="165" t="s">
        <v>180</v>
      </c>
      <c r="D163" s="165"/>
      <c r="E163" s="39" t="s">
        <v>186</v>
      </c>
      <c r="F163" s="165"/>
      <c r="G163" s="4" t="s">
        <v>297</v>
      </c>
      <c r="H163" s="38"/>
      <c r="I163" s="10"/>
      <c r="J163" s="32"/>
      <c r="K163" s="10"/>
      <c r="L163" s="10"/>
      <c r="M163" s="10"/>
    </row>
    <row r="164" spans="1:13" s="4" customFormat="1" ht="15.75">
      <c r="A164" s="153"/>
      <c r="B164" s="10"/>
      <c r="C164" s="165" t="s">
        <v>181</v>
      </c>
      <c r="D164" s="165"/>
      <c r="E164" s="39" t="s">
        <v>187</v>
      </c>
      <c r="F164" s="165"/>
      <c r="G164" s="154" t="s">
        <v>310</v>
      </c>
      <c r="H164" s="38"/>
      <c r="I164" s="10"/>
      <c r="J164" s="32"/>
      <c r="K164" s="10"/>
      <c r="L164" s="10"/>
      <c r="M164" s="10"/>
    </row>
    <row r="165" spans="1:13" s="4" customFormat="1" ht="15.75">
      <c r="A165" s="153"/>
      <c r="B165" s="10"/>
      <c r="C165" s="165" t="s">
        <v>182</v>
      </c>
      <c r="D165" s="165"/>
      <c r="E165" s="10"/>
      <c r="F165" s="165"/>
      <c r="G165" s="154" t="s">
        <v>312</v>
      </c>
      <c r="H165" s="38"/>
      <c r="I165" s="347"/>
      <c r="J165" s="32"/>
      <c r="K165" s="128"/>
      <c r="L165" s="168"/>
      <c r="M165" s="154"/>
    </row>
    <row r="166" spans="1:13" s="4" customFormat="1" ht="15.75">
      <c r="A166" s="153"/>
      <c r="B166" s="10"/>
      <c r="C166" s="165"/>
      <c r="D166" s="165"/>
      <c r="E166" s="10"/>
      <c r="F166" s="165"/>
      <c r="G166" s="154" t="s">
        <v>311</v>
      </c>
      <c r="H166" s="38"/>
      <c r="I166" s="347"/>
      <c r="J166" s="32"/>
      <c r="K166" s="128"/>
      <c r="L166" s="168"/>
      <c r="M166" s="154"/>
    </row>
    <row r="167" spans="1:13" s="4" customFormat="1" ht="5.25" customHeight="1">
      <c r="A167" s="153"/>
      <c r="B167" s="10"/>
      <c r="C167" s="165"/>
      <c r="D167" s="165"/>
      <c r="E167" s="39"/>
      <c r="F167" s="165"/>
      <c r="G167" s="39"/>
      <c r="H167" s="154"/>
      <c r="I167" s="167"/>
      <c r="J167" s="10"/>
      <c r="K167" s="168"/>
      <c r="L167" s="168"/>
      <c r="M167" s="154"/>
    </row>
    <row r="168" spans="1:13" s="4" customFormat="1" ht="15.75">
      <c r="A168" s="173">
        <f>+A150+1</f>
        <v>6</v>
      </c>
      <c r="B168" s="10"/>
      <c r="C168" s="139" t="s">
        <v>266</v>
      </c>
      <c r="D168" s="139"/>
      <c r="E168" s="139"/>
      <c r="F168" s="139"/>
      <c r="G168" s="139"/>
      <c r="H168" s="111"/>
      <c r="I168" s="112"/>
      <c r="J168" s="5"/>
      <c r="K168" s="5"/>
      <c r="L168" s="5"/>
      <c r="M168" s="5"/>
    </row>
    <row r="169" spans="1:13" s="4" customFormat="1" ht="15.75">
      <c r="A169" s="173"/>
      <c r="B169" s="10"/>
      <c r="C169" s="139" t="s">
        <v>267</v>
      </c>
      <c r="D169" s="139"/>
      <c r="E169" s="139"/>
      <c r="F169" s="139"/>
      <c r="G169" s="139"/>
      <c r="H169" s="111"/>
      <c r="I169" s="112"/>
      <c r="J169" s="5"/>
      <c r="K169" s="5"/>
      <c r="L169" s="5"/>
      <c r="M169" s="5"/>
    </row>
    <row r="170" spans="1:13" s="4" customFormat="1" ht="15.75">
      <c r="A170" s="173"/>
      <c r="B170" s="10"/>
      <c r="C170" s="524" t="s">
        <v>268</v>
      </c>
      <c r="D170" s="30"/>
      <c r="E170" s="30"/>
      <c r="F170" s="30"/>
      <c r="G170" s="30"/>
      <c r="H170" s="31"/>
      <c r="I170" s="31"/>
      <c r="J170" s="5"/>
      <c r="K170" s="5"/>
      <c r="L170" s="5"/>
      <c r="M170" s="5"/>
    </row>
    <row r="171" spans="1:13" s="4" customFormat="1" ht="5.25" customHeight="1">
      <c r="A171" s="173"/>
      <c r="B171" s="10"/>
      <c r="C171" s="524"/>
      <c r="D171" s="30"/>
      <c r="E171" s="30"/>
      <c r="F171" s="30"/>
      <c r="G171" s="30"/>
      <c r="H171" s="31"/>
      <c r="I171" s="31"/>
      <c r="J171" s="5"/>
      <c r="K171" s="5"/>
      <c r="L171" s="5"/>
      <c r="M171" s="5"/>
    </row>
    <row r="172" spans="1:13" s="4" customFormat="1" ht="15.75">
      <c r="A172" s="173">
        <v>7</v>
      </c>
      <c r="B172" s="10"/>
      <c r="C172" s="139" t="s">
        <v>284</v>
      </c>
      <c r="D172" s="30"/>
      <c r="E172" s="30"/>
      <c r="F172" s="30"/>
      <c r="G172" s="30"/>
      <c r="H172" s="31"/>
      <c r="I172" s="31"/>
      <c r="J172" s="5"/>
      <c r="K172" s="5"/>
      <c r="L172" s="5"/>
      <c r="M172" s="5"/>
    </row>
    <row r="173" spans="1:13" s="4" customFormat="1" ht="15.75">
      <c r="A173" s="173"/>
      <c r="B173" s="10"/>
      <c r="C173" s="524" t="s">
        <v>281</v>
      </c>
      <c r="D173" s="30"/>
      <c r="E173" s="30"/>
      <c r="F173" s="30"/>
      <c r="G173" s="30"/>
      <c r="H173" s="31"/>
      <c r="I173" s="31"/>
      <c r="J173" s="5"/>
      <c r="K173" s="5"/>
      <c r="L173" s="5"/>
      <c r="M173" s="5"/>
    </row>
    <row r="174" spans="1:13" s="4" customFormat="1" ht="15.75">
      <c r="A174" s="173"/>
      <c r="B174" s="10"/>
      <c r="C174" s="524" t="s">
        <v>294</v>
      </c>
      <c r="D174" s="30"/>
      <c r="E174" s="30"/>
      <c r="F174" s="30"/>
      <c r="G174" s="30"/>
      <c r="H174" s="31"/>
      <c r="I174" s="31"/>
      <c r="J174" s="5"/>
      <c r="K174" s="5"/>
      <c r="L174" s="5"/>
      <c r="M174" s="5"/>
    </row>
    <row r="175" spans="1:13" s="4" customFormat="1" ht="5.25" customHeight="1">
      <c r="A175" s="173"/>
      <c r="B175" s="10"/>
      <c r="C175" s="30"/>
      <c r="D175" s="30"/>
      <c r="E175" s="30"/>
      <c r="F175" s="30"/>
      <c r="G175" s="30"/>
      <c r="H175" s="31"/>
      <c r="I175" s="31"/>
      <c r="J175" s="5"/>
      <c r="K175" s="5"/>
      <c r="L175" s="5"/>
      <c r="M175" s="5"/>
    </row>
    <row r="176" spans="1:13" s="4" customFormat="1" ht="15.75">
      <c r="A176" s="173">
        <v>8</v>
      </c>
      <c r="B176" s="10"/>
      <c r="C176" s="139" t="s">
        <v>285</v>
      </c>
      <c r="D176" s="30"/>
      <c r="E176" s="30"/>
      <c r="F176" s="30"/>
      <c r="G176" s="30"/>
      <c r="H176" s="31"/>
      <c r="I176" s="31"/>
      <c r="J176" s="5"/>
      <c r="K176" s="5"/>
      <c r="L176" s="5"/>
      <c r="M176" s="5"/>
    </row>
    <row r="177" spans="1:13" s="4" customFormat="1" ht="15.75">
      <c r="A177" s="173"/>
      <c r="B177" s="10"/>
      <c r="C177" s="139" t="s">
        <v>280</v>
      </c>
      <c r="D177" s="30"/>
      <c r="E177" s="30"/>
      <c r="F177" s="30"/>
      <c r="G177" s="30"/>
      <c r="H177" s="31"/>
      <c r="I177" s="31"/>
      <c r="J177" s="5"/>
      <c r="K177" s="5"/>
      <c r="L177" s="5"/>
      <c r="M177" s="5"/>
    </row>
    <row r="178" spans="1:13" s="4" customFormat="1" ht="15.75">
      <c r="A178" s="173"/>
      <c r="B178" s="10"/>
      <c r="C178" s="524" t="s">
        <v>282</v>
      </c>
      <c r="D178" s="30"/>
      <c r="E178" s="30"/>
      <c r="F178" s="30"/>
      <c r="G178" s="30"/>
      <c r="H178" s="31"/>
      <c r="I178" s="31"/>
      <c r="J178" s="5"/>
      <c r="K178" s="5"/>
      <c r="L178" s="5"/>
      <c r="M178" s="5"/>
    </row>
    <row r="179" spans="1:13" s="4" customFormat="1" ht="15.75">
      <c r="A179" s="173"/>
      <c r="B179" s="10"/>
      <c r="C179" s="139" t="s">
        <v>283</v>
      </c>
      <c r="D179" s="30"/>
      <c r="E179" s="30"/>
      <c r="F179" s="30"/>
      <c r="G179" s="30"/>
      <c r="H179" s="31"/>
      <c r="I179" s="31"/>
      <c r="J179" s="5"/>
      <c r="K179" s="5"/>
      <c r="L179" s="5"/>
      <c r="M179" s="5"/>
    </row>
    <row r="180" spans="1:13" s="4" customFormat="1" ht="5.25" customHeight="1">
      <c r="A180" s="173"/>
      <c r="B180" s="10"/>
      <c r="C180" s="30"/>
      <c r="D180" s="30"/>
      <c r="E180" s="30"/>
      <c r="F180" s="30"/>
      <c r="G180" s="30"/>
      <c r="H180" s="31"/>
      <c r="I180" s="31"/>
      <c r="J180" s="5"/>
      <c r="K180" s="5"/>
      <c r="L180" s="5"/>
      <c r="M180" s="5"/>
    </row>
    <row r="181" spans="1:13" s="4" customFormat="1" ht="15.75">
      <c r="A181" s="173">
        <v>9</v>
      </c>
      <c r="B181" s="10"/>
      <c r="C181" s="30" t="s">
        <v>244</v>
      </c>
      <c r="D181" s="30"/>
      <c r="E181" s="30"/>
      <c r="F181" s="30"/>
      <c r="G181" s="30"/>
      <c r="H181" s="31"/>
      <c r="I181" s="31"/>
      <c r="J181" s="5"/>
      <c r="K181" s="5"/>
      <c r="L181" s="5"/>
      <c r="M181" s="5"/>
    </row>
    <row r="182" spans="1:13" s="4" customFormat="1" ht="15.75">
      <c r="A182" s="173"/>
      <c r="B182" s="10"/>
      <c r="C182" s="30" t="s">
        <v>295</v>
      </c>
      <c r="D182" s="30"/>
      <c r="E182" s="30"/>
      <c r="F182" s="30"/>
      <c r="G182" s="30"/>
      <c r="H182" s="31"/>
      <c r="I182" s="31"/>
      <c r="J182" s="5"/>
      <c r="K182" s="5"/>
      <c r="L182" s="5"/>
      <c r="M182" s="5"/>
    </row>
    <row r="183" spans="1:13" s="4" customFormat="1" ht="15.75">
      <c r="A183" s="173"/>
      <c r="B183" s="10"/>
      <c r="C183" s="30" t="s">
        <v>246</v>
      </c>
      <c r="D183" s="30"/>
      <c r="E183" s="30"/>
      <c r="F183" s="30"/>
      <c r="G183" s="30"/>
      <c r="H183" s="31"/>
      <c r="I183" s="31"/>
      <c r="J183" s="5"/>
      <c r="K183" s="5"/>
      <c r="L183" s="5"/>
      <c r="M183" s="5"/>
    </row>
    <row r="184" spans="1:13" s="4" customFormat="1" ht="15.75">
      <c r="A184" s="173"/>
      <c r="B184" s="10"/>
      <c r="C184" s="30" t="s">
        <v>276</v>
      </c>
      <c r="D184" s="30"/>
      <c r="E184" s="30"/>
      <c r="F184" s="30"/>
      <c r="G184" s="30"/>
      <c r="H184" s="31"/>
      <c r="I184" s="31"/>
      <c r="J184" s="5"/>
      <c r="K184" s="5"/>
      <c r="L184" s="5"/>
      <c r="M184" s="5"/>
    </row>
    <row r="185" spans="1:13" s="4" customFormat="1" ht="15.75">
      <c r="A185" s="173"/>
      <c r="B185" s="10"/>
      <c r="C185" s="30" t="s">
        <v>277</v>
      </c>
      <c r="D185" s="30"/>
      <c r="E185" s="30"/>
      <c r="F185" s="30"/>
      <c r="G185" s="30"/>
      <c r="H185" s="31"/>
      <c r="I185" s="31"/>
      <c r="J185" s="5"/>
      <c r="K185" s="5"/>
      <c r="L185" s="5"/>
      <c r="M185" s="5"/>
    </row>
    <row r="186" spans="1:13" s="4" customFormat="1" ht="15.75">
      <c r="A186" s="173"/>
      <c r="B186" s="10"/>
      <c r="C186" s="30" t="s">
        <v>279</v>
      </c>
      <c r="D186" s="30"/>
      <c r="E186" s="30"/>
      <c r="F186" s="30"/>
      <c r="G186" s="30"/>
      <c r="H186" s="31"/>
      <c r="I186" s="31"/>
      <c r="J186" s="5"/>
      <c r="K186" s="5"/>
      <c r="L186" s="5"/>
      <c r="M186" s="5"/>
    </row>
    <row r="187" spans="1:13" s="4" customFormat="1" ht="15.75">
      <c r="A187" s="173"/>
      <c r="B187" s="10"/>
      <c r="C187" s="30" t="s">
        <v>296</v>
      </c>
      <c r="D187" s="30"/>
      <c r="E187" s="30"/>
      <c r="F187" s="30"/>
      <c r="G187" s="30"/>
      <c r="H187" s="31"/>
      <c r="I187" s="31"/>
      <c r="J187" s="5"/>
      <c r="K187" s="5"/>
      <c r="L187" s="5"/>
      <c r="M187" s="5"/>
    </row>
    <row r="188" spans="1:13" s="4" customFormat="1" ht="5.25" customHeight="1">
      <c r="A188" s="173"/>
      <c r="B188" s="10"/>
      <c r="C188" s="30"/>
      <c r="D188" s="30"/>
      <c r="E188" s="30"/>
      <c r="F188" s="30"/>
      <c r="G188" s="30"/>
      <c r="H188" s="31"/>
      <c r="I188" s="31"/>
      <c r="J188" s="5"/>
      <c r="K188" s="5"/>
      <c r="L188" s="5"/>
      <c r="M188" s="5"/>
    </row>
    <row r="189" spans="1:13" s="4" customFormat="1" ht="15.75">
      <c r="A189" s="173">
        <f>+A181+1</f>
        <v>10</v>
      </c>
      <c r="B189" s="10"/>
      <c r="C189" s="30" t="s">
        <v>319</v>
      </c>
      <c r="D189" s="30"/>
      <c r="E189" s="30"/>
      <c r="F189" s="30"/>
      <c r="G189" s="30"/>
      <c r="H189" s="31"/>
      <c r="I189" s="31"/>
      <c r="J189" s="5"/>
      <c r="K189" s="5"/>
      <c r="L189" s="5"/>
      <c r="M189" s="5"/>
    </row>
    <row r="190" spans="1:13" s="4" customFormat="1" ht="15.75">
      <c r="A190" s="173"/>
      <c r="B190" s="10"/>
      <c r="C190" s="30" t="s">
        <v>320</v>
      </c>
      <c r="D190" s="30"/>
      <c r="E190" s="30"/>
      <c r="F190" s="30"/>
      <c r="G190" s="30"/>
      <c r="H190" s="31"/>
      <c r="I190" s="31"/>
      <c r="J190" s="5"/>
      <c r="K190" s="5"/>
      <c r="L190" s="5"/>
      <c r="M190" s="5"/>
    </row>
    <row r="191" spans="1:13" s="4" customFormat="1" ht="15.75">
      <c r="A191" s="173"/>
      <c r="B191" s="10"/>
      <c r="C191" s="30" t="s">
        <v>321</v>
      </c>
      <c r="D191" s="30"/>
      <c r="E191" s="30"/>
      <c r="F191" s="30"/>
      <c r="G191" s="30"/>
      <c r="H191" s="31"/>
      <c r="I191" s="31"/>
      <c r="J191" s="5"/>
      <c r="K191" s="5"/>
      <c r="L191" s="5"/>
      <c r="M191" s="5"/>
    </row>
    <row r="192" spans="1:13" s="4" customFormat="1" ht="5.25" customHeight="1">
      <c r="A192" s="173"/>
      <c r="B192" s="10"/>
      <c r="C192" s="30"/>
      <c r="D192" s="30"/>
      <c r="E192" s="30"/>
      <c r="F192" s="30"/>
      <c r="G192" s="30"/>
      <c r="H192" s="31"/>
      <c r="I192" s="31"/>
      <c r="J192" s="5"/>
      <c r="K192" s="5"/>
      <c r="L192" s="5"/>
      <c r="M192" s="5"/>
    </row>
    <row r="193" spans="1:13" s="4" customFormat="1" ht="15.75">
      <c r="A193" s="151">
        <f>+A189+1</f>
        <v>11</v>
      </c>
      <c r="C193" s="17" t="s">
        <v>194</v>
      </c>
      <c r="D193" s="17"/>
      <c r="E193" s="17"/>
      <c r="F193" s="17"/>
      <c r="G193" s="17"/>
      <c r="H193" s="29"/>
      <c r="I193" s="29"/>
      <c r="J193" s="5"/>
      <c r="K193" s="5"/>
      <c r="L193" s="5"/>
      <c r="M193" s="5"/>
    </row>
    <row r="194" spans="1:13" s="4" customFormat="1" ht="15.75">
      <c r="A194" s="173"/>
      <c r="B194" s="10"/>
      <c r="C194" s="17" t="s">
        <v>248</v>
      </c>
      <c r="D194" s="30"/>
      <c r="E194" s="30"/>
      <c r="F194" s="30"/>
      <c r="G194" s="30"/>
      <c r="H194" s="31"/>
      <c r="I194" s="31"/>
      <c r="J194" s="5"/>
      <c r="K194" s="5"/>
      <c r="L194" s="5"/>
      <c r="M194" s="5"/>
    </row>
    <row r="195" spans="1:13" s="4" customFormat="1" ht="5.25" customHeight="1">
      <c r="A195" s="173"/>
      <c r="B195" s="10"/>
      <c r="C195" s="17"/>
      <c r="D195" s="30"/>
      <c r="E195" s="30"/>
      <c r="F195" s="30"/>
      <c r="G195" s="30"/>
      <c r="H195" s="31"/>
      <c r="I195" s="31"/>
      <c r="J195" s="5"/>
      <c r="K195" s="5"/>
      <c r="L195" s="5"/>
      <c r="M195" s="5"/>
    </row>
    <row r="196" spans="1:13" s="4" customFormat="1" ht="15.75">
      <c r="A196" s="173">
        <f>+A193+1</f>
        <v>12</v>
      </c>
      <c r="B196" s="10"/>
      <c r="C196" s="174" t="s">
        <v>199</v>
      </c>
      <c r="D196" s="30"/>
      <c r="E196" s="30"/>
      <c r="F196" s="30"/>
      <c r="G196" s="30"/>
      <c r="H196" s="31"/>
      <c r="I196" s="31"/>
      <c r="J196" s="5"/>
      <c r="K196" s="5"/>
      <c r="L196" s="5"/>
      <c r="M196" s="5"/>
    </row>
    <row r="197" spans="1:13" s="4" customFormat="1" ht="5.25" customHeight="1">
      <c r="A197" s="173"/>
      <c r="B197" s="10"/>
      <c r="C197" s="17"/>
      <c r="D197" s="30"/>
      <c r="E197" s="30"/>
      <c r="F197" s="30"/>
      <c r="G197" s="30"/>
      <c r="H197" s="31"/>
      <c r="I197" s="31"/>
      <c r="J197" s="5"/>
      <c r="K197" s="5"/>
      <c r="L197" s="5"/>
      <c r="M197" s="5"/>
    </row>
    <row r="198" spans="1:13" s="4" customFormat="1" ht="15.75">
      <c r="A198" s="151">
        <f>+A196+1</f>
        <v>13</v>
      </c>
      <c r="C198" s="14" t="s">
        <v>317</v>
      </c>
      <c r="D198" s="14"/>
      <c r="E198" s="14"/>
      <c r="F198" s="14"/>
      <c r="G198" s="14"/>
      <c r="H198" s="9"/>
      <c r="I198" s="9"/>
      <c r="J198" s="9"/>
      <c r="K198" s="9"/>
      <c r="L198" s="9"/>
      <c r="M198" s="9"/>
    </row>
    <row r="199" spans="1:13" s="4" customFormat="1" ht="15.75">
      <c r="A199" s="25"/>
      <c r="C199" s="14" t="s">
        <v>247</v>
      </c>
      <c r="D199" s="14"/>
      <c r="E199" s="14"/>
      <c r="F199" s="14"/>
      <c r="G199" s="14"/>
      <c r="H199" s="9"/>
      <c r="I199" s="14"/>
      <c r="J199" s="14"/>
      <c r="K199" s="14"/>
      <c r="L199" s="14"/>
      <c r="M199" s="19"/>
    </row>
    <row r="200" spans="1:13" s="4" customFormat="1" ht="15.75">
      <c r="A200" s="25"/>
      <c r="C200" s="14" t="s">
        <v>245</v>
      </c>
      <c r="D200" s="14"/>
      <c r="E200" s="14"/>
      <c r="F200" s="14"/>
      <c r="G200" s="14"/>
      <c r="H200" s="9"/>
      <c r="I200" s="14"/>
      <c r="J200" s="14"/>
      <c r="K200" s="14"/>
      <c r="L200" s="14"/>
      <c r="M200" s="176"/>
    </row>
    <row r="201" spans="1:13" s="4" customFormat="1" ht="15.75">
      <c r="A201" s="25"/>
      <c r="C201" s="181"/>
      <c r="D201" s="5"/>
      <c r="E201" s="5"/>
      <c r="F201" s="5"/>
      <c r="G201" s="5"/>
      <c r="H201" s="5"/>
      <c r="I201" s="5"/>
      <c r="J201" s="5"/>
      <c r="K201" s="5"/>
      <c r="L201" s="5"/>
      <c r="M201" s="5"/>
    </row>
    <row r="202" spans="1:8" s="4" customFormat="1" ht="15.75">
      <c r="A202" s="173"/>
      <c r="B202" s="10"/>
      <c r="C202" s="4" t="s">
        <v>201</v>
      </c>
      <c r="G202" s="5" t="s">
        <v>77</v>
      </c>
      <c r="H202" s="5"/>
    </row>
    <row r="203" spans="1:8" s="4" customFormat="1" ht="15.75">
      <c r="A203" s="173"/>
      <c r="B203" s="10"/>
      <c r="G203" s="5"/>
      <c r="H203" s="5"/>
    </row>
    <row r="204" spans="1:8" s="4" customFormat="1" ht="15.75">
      <c r="A204" s="25"/>
      <c r="C204" s="181"/>
      <c r="D204" s="5"/>
      <c r="E204" s="5"/>
      <c r="F204" s="5"/>
      <c r="G204" s="5"/>
      <c r="H204" s="5"/>
    </row>
    <row r="205" spans="1:8" s="4" customFormat="1" ht="15.75">
      <c r="A205" s="25"/>
      <c r="C205" s="181"/>
      <c r="D205" s="5"/>
      <c r="E205" s="5"/>
      <c r="F205" s="5"/>
      <c r="G205" s="5"/>
      <c r="H205" s="5"/>
    </row>
    <row r="206" spans="1:9" s="4" customFormat="1" ht="15.75">
      <c r="A206" s="25"/>
      <c r="C206" s="181"/>
      <c r="D206" s="5"/>
      <c r="E206" s="5"/>
      <c r="F206" s="5"/>
      <c r="G206" s="113"/>
      <c r="H206" s="5"/>
      <c r="I206" s="111" t="s">
        <v>43</v>
      </c>
    </row>
    <row r="207" spans="3:7" s="4" customFormat="1" ht="15.75">
      <c r="C207" s="29" t="s">
        <v>202</v>
      </c>
      <c r="D207" s="5"/>
      <c r="E207" s="5"/>
      <c r="F207" s="5"/>
      <c r="G207" s="5" t="s">
        <v>42</v>
      </c>
    </row>
    <row r="208" spans="1:3" s="4" customFormat="1" ht="15.75">
      <c r="A208" s="17"/>
      <c r="C208" s="29" t="s">
        <v>231</v>
      </c>
    </row>
    <row r="209" s="4" customFormat="1" ht="15.75">
      <c r="A209" s="17"/>
    </row>
    <row r="210" s="4" customFormat="1" ht="15.75">
      <c r="A210" s="17"/>
    </row>
    <row r="211" s="4" customFormat="1" ht="15.75">
      <c r="A211" s="17"/>
    </row>
    <row r="212" s="4" customFormat="1" ht="15.75">
      <c r="A212" s="17"/>
    </row>
    <row r="213" s="4" customFormat="1" ht="15.75">
      <c r="A213" s="17"/>
    </row>
    <row r="214" s="4" customFormat="1" ht="15.75">
      <c r="A214" s="17"/>
    </row>
    <row r="215" s="4" customFormat="1" ht="15.75">
      <c r="A215" s="17"/>
    </row>
    <row r="216" s="4" customFormat="1" ht="15.75">
      <c r="A216" s="17"/>
    </row>
    <row r="217" s="4" customFormat="1" ht="15.75">
      <c r="A217" s="17"/>
    </row>
    <row r="218" s="4" customFormat="1" ht="15.75">
      <c r="A218" s="17"/>
    </row>
    <row r="219" s="4" customFormat="1" ht="15.75">
      <c r="A219" s="17"/>
    </row>
    <row r="220" s="4" customFormat="1" ht="15.75">
      <c r="A220" s="17"/>
    </row>
    <row r="221" s="4" customFormat="1" ht="15.75">
      <c r="A221" s="17"/>
    </row>
    <row r="222" s="4" customFormat="1" ht="15.75">
      <c r="A222" s="17"/>
    </row>
    <row r="223" s="4" customFormat="1" ht="15.75">
      <c r="A223" s="17"/>
    </row>
    <row r="224" s="4" customFormat="1" ht="15.75">
      <c r="A224" s="17"/>
    </row>
    <row r="225" s="4" customFormat="1" ht="15.75">
      <c r="A225" s="17"/>
    </row>
    <row r="226" s="4" customFormat="1" ht="15.75">
      <c r="A226" s="17"/>
    </row>
    <row r="227" s="4" customFormat="1" ht="15.75">
      <c r="A227" s="17"/>
    </row>
    <row r="228" s="4" customFormat="1" ht="15.75">
      <c r="A228" s="17"/>
    </row>
    <row r="229" s="4" customFormat="1" ht="15.75">
      <c r="A229" s="17"/>
    </row>
    <row r="230" s="4" customFormat="1" ht="15.75">
      <c r="A230" s="17"/>
    </row>
    <row r="231" s="4" customFormat="1" ht="15.75">
      <c r="A231" s="17"/>
    </row>
    <row r="232" s="4" customFormat="1" ht="15.75">
      <c r="A232" s="17"/>
    </row>
    <row r="233" s="4" customFormat="1" ht="15.75">
      <c r="A233" s="17"/>
    </row>
    <row r="234" s="4" customFormat="1" ht="15.75">
      <c r="A234" s="17"/>
    </row>
    <row r="235" s="4" customFormat="1" ht="15.75">
      <c r="A235" s="17"/>
    </row>
    <row r="236" s="4" customFormat="1" ht="15.75">
      <c r="A236" s="17"/>
    </row>
    <row r="237" s="4" customFormat="1" ht="15.75">
      <c r="A237" s="17"/>
    </row>
    <row r="238" s="4" customFormat="1" ht="15.75">
      <c r="A238" s="17"/>
    </row>
    <row r="239" s="4" customFormat="1" ht="15.75">
      <c r="A239" s="17"/>
    </row>
    <row r="240" s="4" customFormat="1" ht="15.75">
      <c r="A240" s="17"/>
    </row>
    <row r="241" s="4" customFormat="1" ht="15.75">
      <c r="A241" s="17"/>
    </row>
    <row r="242" s="4" customFormat="1" ht="15.75">
      <c r="A242" s="17"/>
    </row>
    <row r="243" s="4" customFormat="1" ht="15.75">
      <c r="A243" s="17"/>
    </row>
    <row r="244" s="4" customFormat="1" ht="15.75">
      <c r="A244" s="17"/>
    </row>
    <row r="245" s="4" customFormat="1" ht="15.75">
      <c r="A245" s="17"/>
    </row>
    <row r="246" s="4" customFormat="1" ht="15.75">
      <c r="A246" s="17"/>
    </row>
    <row r="247" s="4" customFormat="1" ht="15.75">
      <c r="A247" s="17"/>
    </row>
    <row r="248" s="4" customFormat="1" ht="15.75">
      <c r="A248" s="17"/>
    </row>
    <row r="249" s="4" customFormat="1" ht="15.75">
      <c r="A249" s="17"/>
    </row>
    <row r="250" s="4" customFormat="1" ht="15.75">
      <c r="A250" s="17"/>
    </row>
    <row r="251" s="4" customFormat="1" ht="15.75">
      <c r="A251" s="17"/>
    </row>
    <row r="252" s="4" customFormat="1" ht="15.75">
      <c r="A252" s="17"/>
    </row>
    <row r="253" s="4" customFormat="1" ht="15.75">
      <c r="A253" s="17"/>
    </row>
    <row r="254" s="4" customFormat="1" ht="15.75">
      <c r="A254" s="17"/>
    </row>
    <row r="255" s="4" customFormat="1" ht="15.75">
      <c r="A255" s="17"/>
    </row>
    <row r="256" s="4" customFormat="1" ht="15.75">
      <c r="A256" s="17"/>
    </row>
    <row r="257" s="4" customFormat="1" ht="15.75">
      <c r="A257" s="17"/>
    </row>
    <row r="258" s="4" customFormat="1" ht="15.75">
      <c r="A258" s="17"/>
    </row>
    <row r="259" s="4" customFormat="1" ht="15.75">
      <c r="A259" s="17"/>
    </row>
    <row r="260" s="4" customFormat="1" ht="15.75">
      <c r="A260" s="17"/>
    </row>
    <row r="261" s="4" customFormat="1" ht="15.75">
      <c r="A261" s="17"/>
    </row>
    <row r="262" s="4" customFormat="1" ht="15.75">
      <c r="A262" s="17"/>
    </row>
    <row r="263" s="4" customFormat="1" ht="15.75">
      <c r="A263" s="17"/>
    </row>
    <row r="264" s="4" customFormat="1" ht="15.75">
      <c r="A264" s="17"/>
    </row>
    <row r="265" s="4" customFormat="1" ht="15.75">
      <c r="A265" s="17"/>
    </row>
    <row r="266" s="4" customFormat="1" ht="15.75">
      <c r="A266" s="17"/>
    </row>
    <row r="267" s="4" customFormat="1" ht="15.75">
      <c r="A267" s="17"/>
    </row>
    <row r="268" s="4" customFormat="1" ht="15.75">
      <c r="A268" s="17"/>
    </row>
    <row r="269" s="4" customFormat="1" ht="15.75">
      <c r="A269" s="17"/>
    </row>
    <row r="270" s="4" customFormat="1" ht="15.75">
      <c r="A270" s="17"/>
    </row>
    <row r="271" s="4" customFormat="1" ht="15.75">
      <c r="A271" s="17"/>
    </row>
    <row r="272" s="4" customFormat="1" ht="15.75">
      <c r="A272" s="17"/>
    </row>
    <row r="273" s="4" customFormat="1" ht="15.75">
      <c r="A273" s="17"/>
    </row>
    <row r="274" s="4" customFormat="1" ht="15.75">
      <c r="A274" s="17"/>
    </row>
    <row r="275" s="4" customFormat="1" ht="15.75">
      <c r="A275" s="17"/>
    </row>
    <row r="276" s="4" customFormat="1" ht="15.75">
      <c r="A276" s="17"/>
    </row>
    <row r="277" s="4" customFormat="1" ht="15.75">
      <c r="A277" s="17"/>
    </row>
    <row r="278" s="4" customFormat="1" ht="15.75">
      <c r="A278" s="17"/>
    </row>
    <row r="279" s="4" customFormat="1" ht="15.75">
      <c r="A279" s="17"/>
    </row>
    <row r="280" s="4" customFormat="1" ht="15.75">
      <c r="A280" s="17"/>
    </row>
    <row r="281" s="4" customFormat="1" ht="15.75">
      <c r="A281" s="17"/>
    </row>
    <row r="282" s="4" customFormat="1" ht="15.75">
      <c r="A282" s="17"/>
    </row>
    <row r="283" s="4" customFormat="1" ht="15.75">
      <c r="A283" s="17"/>
    </row>
    <row r="284" s="4" customFormat="1" ht="15.75">
      <c r="A284" s="17"/>
    </row>
    <row r="285" s="4" customFormat="1" ht="15.75">
      <c r="A285" s="17"/>
    </row>
    <row r="286" s="4" customFormat="1" ht="15.75">
      <c r="A286" s="17"/>
    </row>
    <row r="287" s="4" customFormat="1" ht="15.75">
      <c r="A287" s="17"/>
    </row>
    <row r="288" s="4" customFormat="1" ht="15.75">
      <c r="A288" s="17"/>
    </row>
    <row r="289" s="4" customFormat="1" ht="15.75">
      <c r="A289" s="17"/>
    </row>
    <row r="290" s="4" customFormat="1" ht="15.75">
      <c r="A290" s="17"/>
    </row>
    <row r="291" s="4" customFormat="1" ht="15.75">
      <c r="A291" s="17"/>
    </row>
    <row r="292" s="4" customFormat="1" ht="15.75">
      <c r="A292" s="17"/>
    </row>
    <row r="293" s="4" customFormat="1" ht="15.75">
      <c r="A293" s="17"/>
    </row>
    <row r="294" s="4" customFormat="1" ht="15.75">
      <c r="A294" s="17"/>
    </row>
    <row r="295" s="4" customFormat="1" ht="15.75">
      <c r="A295" s="17"/>
    </row>
    <row r="296" s="4" customFormat="1" ht="15.75">
      <c r="A296" s="17"/>
    </row>
    <row r="297" s="4" customFormat="1" ht="15.75">
      <c r="A297" s="17"/>
    </row>
    <row r="298" s="4" customFormat="1" ht="15.75">
      <c r="A298" s="17"/>
    </row>
    <row r="299" s="4" customFormat="1" ht="15.75">
      <c r="A299" s="17"/>
    </row>
    <row r="300" s="4" customFormat="1" ht="15.75">
      <c r="A300" s="17"/>
    </row>
    <row r="301" s="4" customFormat="1" ht="15.75">
      <c r="A301" s="17"/>
    </row>
    <row r="302" s="4" customFormat="1" ht="15.75">
      <c r="A302" s="17"/>
    </row>
    <row r="303" s="4" customFormat="1" ht="15.75">
      <c r="A303" s="17"/>
    </row>
    <row r="304" s="4" customFormat="1" ht="15.75">
      <c r="A304" s="17"/>
    </row>
    <row r="305" s="4" customFormat="1" ht="15.75">
      <c r="A305" s="17"/>
    </row>
    <row r="306" s="4" customFormat="1" ht="15.75">
      <c r="A306" s="17"/>
    </row>
    <row r="307" s="4" customFormat="1" ht="15.75">
      <c r="A307" s="17"/>
    </row>
    <row r="308" s="4" customFormat="1" ht="15.75">
      <c r="A308" s="17"/>
    </row>
    <row r="309" s="4" customFormat="1" ht="15.75">
      <c r="A309" s="17"/>
    </row>
    <row r="310" s="4" customFormat="1" ht="15.75">
      <c r="A310" s="17"/>
    </row>
    <row r="311" s="4" customFormat="1" ht="15.75">
      <c r="A311" s="17"/>
    </row>
    <row r="312" s="4" customFormat="1" ht="15.75">
      <c r="A312" s="17"/>
    </row>
    <row r="313" s="4" customFormat="1" ht="15.75">
      <c r="A313" s="17"/>
    </row>
    <row r="314" s="4" customFormat="1" ht="15.75">
      <c r="A314" s="17"/>
    </row>
    <row r="315" s="4" customFormat="1" ht="15.75">
      <c r="A315" s="17"/>
    </row>
    <row r="316" s="4" customFormat="1" ht="15.75">
      <c r="A316" s="17"/>
    </row>
    <row r="317" s="4" customFormat="1" ht="15.75">
      <c r="A317" s="17"/>
    </row>
    <row r="318" s="4" customFormat="1" ht="15.75">
      <c r="A318" s="17"/>
    </row>
    <row r="319" s="4" customFormat="1" ht="15.75">
      <c r="A319" s="17"/>
    </row>
    <row r="320" s="4" customFormat="1" ht="15.75">
      <c r="A320" s="17"/>
    </row>
    <row r="321" s="4" customFormat="1" ht="15.75">
      <c r="A321" s="17"/>
    </row>
    <row r="322" s="4" customFormat="1" ht="15.75">
      <c r="A322" s="17"/>
    </row>
    <row r="323" s="4" customFormat="1" ht="15.75">
      <c r="A323" s="17"/>
    </row>
    <row r="324" s="4" customFormat="1" ht="15.75">
      <c r="A324" s="17"/>
    </row>
    <row r="325" s="4" customFormat="1" ht="15.75">
      <c r="A325" s="17"/>
    </row>
    <row r="326" s="4" customFormat="1" ht="15.75">
      <c r="A326" s="17"/>
    </row>
    <row r="327" s="4" customFormat="1" ht="15.75">
      <c r="A327" s="17"/>
    </row>
    <row r="328" s="4" customFormat="1" ht="15.75">
      <c r="A328" s="17"/>
    </row>
    <row r="329" s="4" customFormat="1" ht="15.75">
      <c r="A329" s="17"/>
    </row>
    <row r="330" s="4" customFormat="1" ht="15.75">
      <c r="A330" s="17"/>
    </row>
    <row r="331" s="4" customFormat="1" ht="15.75">
      <c r="A331" s="17"/>
    </row>
    <row r="332" s="4" customFormat="1" ht="15.75">
      <c r="A332" s="17"/>
    </row>
    <row r="333" s="4" customFormat="1" ht="15.75">
      <c r="A333" s="17"/>
    </row>
    <row r="334" s="4" customFormat="1" ht="15.75">
      <c r="A334" s="17"/>
    </row>
    <row r="335" s="4" customFormat="1" ht="15.75">
      <c r="A335" s="17"/>
    </row>
    <row r="336" s="4" customFormat="1" ht="15.75">
      <c r="A336" s="17"/>
    </row>
    <row r="337" s="4" customFormat="1" ht="15.75">
      <c r="A337" s="17"/>
    </row>
    <row r="338" s="4" customFormat="1" ht="15.75">
      <c r="A338" s="17"/>
    </row>
    <row r="339" s="4" customFormat="1" ht="15.75">
      <c r="A339" s="17"/>
    </row>
    <row r="340" s="4" customFormat="1" ht="15.75">
      <c r="A340" s="17"/>
    </row>
    <row r="341" s="4" customFormat="1" ht="15.75">
      <c r="A341" s="17"/>
    </row>
    <row r="342" s="4" customFormat="1" ht="15.75">
      <c r="A342" s="17"/>
    </row>
    <row r="343" s="4" customFormat="1" ht="15.75">
      <c r="A343" s="17"/>
    </row>
    <row r="344" s="4" customFormat="1" ht="15.75">
      <c r="A344" s="17"/>
    </row>
    <row r="345" s="4" customFormat="1" ht="15.75">
      <c r="A345" s="17"/>
    </row>
    <row r="346" s="4" customFormat="1" ht="15.75">
      <c r="A346" s="17"/>
    </row>
    <row r="347" s="4" customFormat="1" ht="15.75">
      <c r="A347" s="17"/>
    </row>
    <row r="348" s="4" customFormat="1" ht="15.75">
      <c r="A348" s="17"/>
    </row>
    <row r="349" s="4" customFormat="1" ht="15.75">
      <c r="A349" s="17"/>
    </row>
    <row r="350" s="4" customFormat="1" ht="15.75">
      <c r="A350" s="17"/>
    </row>
    <row r="351" s="4" customFormat="1" ht="15.75">
      <c r="A351" s="17"/>
    </row>
    <row r="352" s="4" customFormat="1" ht="15.75">
      <c r="A352" s="17"/>
    </row>
    <row r="353" s="4" customFormat="1" ht="15.75">
      <c r="A353" s="17"/>
    </row>
    <row r="354" s="4" customFormat="1" ht="15.75">
      <c r="A354" s="17"/>
    </row>
    <row r="355" s="4" customFormat="1" ht="15.75">
      <c r="A355" s="17"/>
    </row>
    <row r="356" s="4" customFormat="1" ht="15.75">
      <c r="A356" s="17"/>
    </row>
    <row r="357" s="4" customFormat="1" ht="15.75">
      <c r="A357" s="17"/>
    </row>
    <row r="358" s="4" customFormat="1" ht="15.75">
      <c r="A358" s="17"/>
    </row>
    <row r="359" s="4" customFormat="1" ht="15.75">
      <c r="A359" s="17"/>
    </row>
    <row r="360" s="4" customFormat="1" ht="15.75">
      <c r="A360" s="17"/>
    </row>
    <row r="361" s="4" customFormat="1" ht="15.75">
      <c r="A361" s="17"/>
    </row>
    <row r="362" s="4" customFormat="1" ht="15.75">
      <c r="A362" s="17"/>
    </row>
    <row r="363" s="4" customFormat="1" ht="15.75">
      <c r="A363" s="17"/>
    </row>
    <row r="364" s="4" customFormat="1" ht="15.75">
      <c r="A364" s="17"/>
    </row>
    <row r="365" s="4" customFormat="1" ht="15.75">
      <c r="A365" s="17"/>
    </row>
    <row r="366" s="4" customFormat="1" ht="15.75">
      <c r="A366" s="17"/>
    </row>
    <row r="367" s="4" customFormat="1" ht="15.75">
      <c r="A367" s="17"/>
    </row>
    <row r="368" s="4" customFormat="1" ht="15.75">
      <c r="A368" s="17"/>
    </row>
    <row r="369" s="4" customFormat="1" ht="15.75">
      <c r="A369" s="17"/>
    </row>
    <row r="370" s="4" customFormat="1" ht="15.75">
      <c r="A370" s="17"/>
    </row>
    <row r="371" s="4" customFormat="1" ht="15.75">
      <c r="A371" s="17"/>
    </row>
    <row r="372" s="4" customFormat="1" ht="15.75">
      <c r="A372" s="17"/>
    </row>
    <row r="373" s="4" customFormat="1" ht="15.75">
      <c r="A373" s="17"/>
    </row>
    <row r="374" s="4" customFormat="1" ht="15.75">
      <c r="A374" s="17"/>
    </row>
    <row r="375" s="4" customFormat="1" ht="15.75">
      <c r="A375" s="17"/>
    </row>
    <row r="376" s="4" customFormat="1" ht="15.75">
      <c r="A376" s="17"/>
    </row>
    <row r="377" s="4" customFormat="1" ht="15.75">
      <c r="A377" s="17"/>
    </row>
    <row r="378" s="4" customFormat="1" ht="15.75">
      <c r="A378" s="17"/>
    </row>
    <row r="379" s="4" customFormat="1" ht="15.75">
      <c r="A379" s="17"/>
    </row>
    <row r="380" s="4" customFormat="1" ht="15.75">
      <c r="A380" s="17"/>
    </row>
    <row r="381" s="4" customFormat="1" ht="15.75">
      <c r="A381" s="17"/>
    </row>
    <row r="382" s="4" customFormat="1" ht="15.75">
      <c r="A382" s="17"/>
    </row>
    <row r="383" s="4" customFormat="1" ht="15.75">
      <c r="A383" s="17"/>
    </row>
    <row r="384" s="4" customFormat="1" ht="15.75">
      <c r="A384" s="17"/>
    </row>
    <row r="385" s="4" customFormat="1" ht="15.75">
      <c r="A385" s="17"/>
    </row>
    <row r="386" s="4" customFormat="1" ht="15.75">
      <c r="A386" s="17"/>
    </row>
    <row r="387" s="4" customFormat="1" ht="15.75">
      <c r="A387" s="17"/>
    </row>
    <row r="388" s="4" customFormat="1" ht="15.75">
      <c r="A388" s="17"/>
    </row>
    <row r="389" s="4" customFormat="1" ht="15.75">
      <c r="A389" s="17"/>
    </row>
    <row r="390" s="4" customFormat="1" ht="15.75">
      <c r="A390" s="17"/>
    </row>
    <row r="391" s="4" customFormat="1" ht="15.75">
      <c r="A391" s="17"/>
    </row>
    <row r="392" s="4" customFormat="1" ht="15.75">
      <c r="A392" s="17"/>
    </row>
    <row r="393" s="4" customFormat="1" ht="15.75">
      <c r="A393" s="17"/>
    </row>
    <row r="394" s="4" customFormat="1" ht="15.75">
      <c r="A394" s="17"/>
    </row>
    <row r="395" s="4" customFormat="1" ht="15.75">
      <c r="A395" s="17"/>
    </row>
    <row r="396" s="4" customFormat="1" ht="15.75">
      <c r="A396" s="17"/>
    </row>
    <row r="397" s="4" customFormat="1" ht="15.75">
      <c r="A397" s="17"/>
    </row>
    <row r="398" s="4" customFormat="1" ht="15.75">
      <c r="A398" s="17"/>
    </row>
    <row r="399" s="4" customFormat="1" ht="15.75">
      <c r="A399" s="17"/>
    </row>
    <row r="400" s="4" customFormat="1" ht="15.75">
      <c r="A400" s="17"/>
    </row>
    <row r="401" s="4" customFormat="1" ht="15.75">
      <c r="A401" s="17"/>
    </row>
    <row r="402" s="4" customFormat="1" ht="15.75">
      <c r="A402" s="17"/>
    </row>
    <row r="403" s="4" customFormat="1" ht="15.75">
      <c r="A403" s="17"/>
    </row>
    <row r="404" s="4" customFormat="1" ht="15.75">
      <c r="A404" s="17"/>
    </row>
    <row r="405" s="4" customFormat="1" ht="15.75">
      <c r="A405" s="17"/>
    </row>
    <row r="406" s="4" customFormat="1" ht="15.75">
      <c r="A406" s="17"/>
    </row>
    <row r="407" s="4" customFormat="1" ht="15.75">
      <c r="A407" s="17"/>
    </row>
    <row r="408" s="4" customFormat="1" ht="15.75">
      <c r="A408" s="17"/>
    </row>
    <row r="409" s="4" customFormat="1" ht="15.75">
      <c r="A409" s="17"/>
    </row>
    <row r="410" s="4" customFormat="1" ht="15.75">
      <c r="A410" s="17"/>
    </row>
    <row r="411" s="4" customFormat="1" ht="15.75">
      <c r="A411" s="17"/>
    </row>
    <row r="412" s="4" customFormat="1" ht="15.75">
      <c r="A412" s="17"/>
    </row>
    <row r="413" s="4" customFormat="1" ht="15.75">
      <c r="A413" s="17"/>
    </row>
    <row r="414" s="4" customFormat="1" ht="15.75">
      <c r="A414" s="17"/>
    </row>
    <row r="415" s="4" customFormat="1" ht="15.75">
      <c r="A415" s="17"/>
    </row>
    <row r="416" s="4" customFormat="1" ht="15.75">
      <c r="A416" s="17"/>
    </row>
    <row r="417" s="4" customFormat="1" ht="15.75">
      <c r="A417" s="17"/>
    </row>
    <row r="418" s="4" customFormat="1" ht="15.75">
      <c r="A418" s="17"/>
    </row>
    <row r="419" s="4" customFormat="1" ht="15.75">
      <c r="A419" s="17"/>
    </row>
    <row r="420" s="4" customFormat="1" ht="15.75">
      <c r="A420" s="17"/>
    </row>
    <row r="421" s="4" customFormat="1" ht="15.75">
      <c r="A421" s="17"/>
    </row>
    <row r="422" s="4" customFormat="1" ht="15.75">
      <c r="A422" s="17"/>
    </row>
    <row r="423" s="4" customFormat="1" ht="15.75">
      <c r="A423" s="17"/>
    </row>
    <row r="424" s="4" customFormat="1" ht="15.75">
      <c r="A424" s="17"/>
    </row>
    <row r="425" s="4" customFormat="1" ht="15.75">
      <c r="A425" s="17"/>
    </row>
    <row r="426" s="4" customFormat="1" ht="15.75">
      <c r="A426" s="17"/>
    </row>
    <row r="427" s="4" customFormat="1" ht="15.75">
      <c r="A427" s="17"/>
    </row>
    <row r="428" s="4" customFormat="1" ht="15.75">
      <c r="A428" s="17"/>
    </row>
    <row r="429" s="4" customFormat="1" ht="15.75">
      <c r="A429" s="17"/>
    </row>
    <row r="430" s="4" customFormat="1" ht="15.75">
      <c r="A430" s="17"/>
    </row>
    <row r="431" s="4" customFormat="1" ht="15.75">
      <c r="A431" s="17"/>
    </row>
    <row r="432" s="4" customFormat="1" ht="15.75">
      <c r="A432" s="17"/>
    </row>
    <row r="433" s="4" customFormat="1" ht="15.75">
      <c r="A433" s="17"/>
    </row>
    <row r="434" s="4" customFormat="1" ht="15.75">
      <c r="A434" s="17"/>
    </row>
    <row r="435" s="4" customFormat="1" ht="15.75">
      <c r="A435" s="17"/>
    </row>
    <row r="436" s="4" customFormat="1" ht="15.75">
      <c r="A436" s="17"/>
    </row>
    <row r="437" s="4" customFormat="1" ht="15.75">
      <c r="A437" s="17"/>
    </row>
    <row r="438" s="4" customFormat="1" ht="15.75">
      <c r="A438" s="17"/>
    </row>
    <row r="439" s="4" customFormat="1" ht="15.75">
      <c r="A439" s="17"/>
    </row>
    <row r="440" s="4" customFormat="1" ht="15.75">
      <c r="A440" s="17"/>
    </row>
    <row r="441" s="4" customFormat="1" ht="15.75">
      <c r="A441" s="17"/>
    </row>
    <row r="442" s="4" customFormat="1" ht="15.75">
      <c r="A442" s="17"/>
    </row>
    <row r="443" s="4" customFormat="1" ht="15.75">
      <c r="A443" s="17"/>
    </row>
    <row r="444" s="4" customFormat="1" ht="15.75">
      <c r="A444" s="17"/>
    </row>
    <row r="445" s="4" customFormat="1" ht="15.75">
      <c r="A445" s="17"/>
    </row>
    <row r="446" s="4" customFormat="1" ht="15.75">
      <c r="A446" s="17"/>
    </row>
    <row r="447" s="4" customFormat="1" ht="15.75">
      <c r="A447" s="17"/>
    </row>
    <row r="448" s="4" customFormat="1" ht="15.75">
      <c r="A448" s="17"/>
    </row>
    <row r="449" s="4" customFormat="1" ht="15.75">
      <c r="A449" s="17"/>
    </row>
    <row r="450" s="4" customFormat="1" ht="15.75">
      <c r="A450" s="17"/>
    </row>
    <row r="451" s="4" customFormat="1" ht="15.75">
      <c r="A451" s="17"/>
    </row>
    <row r="452" s="4" customFormat="1" ht="15.75">
      <c r="A452" s="17"/>
    </row>
    <row r="453" s="4" customFormat="1" ht="15.75">
      <c r="A453" s="17"/>
    </row>
    <row r="454" s="4" customFormat="1" ht="15.75">
      <c r="A454" s="17"/>
    </row>
    <row r="455" s="4" customFormat="1" ht="15.75">
      <c r="A455" s="17"/>
    </row>
    <row r="456" s="4" customFormat="1" ht="15.75">
      <c r="A456" s="17"/>
    </row>
    <row r="457" s="4" customFormat="1" ht="15.75">
      <c r="A457" s="17"/>
    </row>
    <row r="458" s="4" customFormat="1" ht="15.75">
      <c r="A458" s="17"/>
    </row>
    <row r="459" s="4" customFormat="1" ht="15.75">
      <c r="A459" s="17"/>
    </row>
    <row r="460" s="4" customFormat="1" ht="15.75">
      <c r="A460" s="17"/>
    </row>
    <row r="461" s="4" customFormat="1" ht="15.75">
      <c r="A461" s="17"/>
    </row>
    <row r="462" s="4" customFormat="1" ht="15.75">
      <c r="A462" s="17"/>
    </row>
    <row r="463" s="4" customFormat="1" ht="15.75">
      <c r="A463" s="17"/>
    </row>
    <row r="464" s="4" customFormat="1" ht="15.75">
      <c r="A464" s="17"/>
    </row>
    <row r="465" s="4" customFormat="1" ht="15.75">
      <c r="A465" s="17"/>
    </row>
    <row r="466" s="4" customFormat="1" ht="15.75">
      <c r="A466" s="17"/>
    </row>
    <row r="467" s="4" customFormat="1" ht="15.75">
      <c r="A467" s="17"/>
    </row>
    <row r="468" s="4" customFormat="1" ht="15.75">
      <c r="A468" s="17"/>
    </row>
    <row r="469" s="4" customFormat="1" ht="15.75">
      <c r="A469" s="17"/>
    </row>
    <row r="470" s="4" customFormat="1" ht="15.75">
      <c r="A470" s="17"/>
    </row>
    <row r="471" s="4" customFormat="1" ht="15.75">
      <c r="A471" s="17"/>
    </row>
    <row r="472" s="4" customFormat="1" ht="15.75">
      <c r="A472" s="17"/>
    </row>
    <row r="473" s="4" customFormat="1" ht="15.75">
      <c r="A473" s="17"/>
    </row>
    <row r="474" s="4" customFormat="1" ht="15.75">
      <c r="A474" s="17"/>
    </row>
    <row r="475" s="4" customFormat="1" ht="15.75">
      <c r="A475" s="17"/>
    </row>
    <row r="476" s="4" customFormat="1" ht="15.75">
      <c r="A476" s="17"/>
    </row>
    <row r="477" s="4" customFormat="1" ht="15.75">
      <c r="A477" s="17"/>
    </row>
    <row r="478" s="4" customFormat="1" ht="15.75">
      <c r="A478" s="17"/>
    </row>
    <row r="479" s="4" customFormat="1" ht="15.75">
      <c r="A479" s="17"/>
    </row>
    <row r="480" s="4" customFormat="1" ht="15.75">
      <c r="A480" s="17"/>
    </row>
    <row r="481" s="4" customFormat="1" ht="15.75">
      <c r="A481" s="17"/>
    </row>
    <row r="482" s="4" customFormat="1" ht="15.75">
      <c r="A482" s="17"/>
    </row>
    <row r="483" s="4" customFormat="1" ht="15.75">
      <c r="A483" s="17"/>
    </row>
    <row r="484" s="4" customFormat="1" ht="15.75">
      <c r="A484" s="17"/>
    </row>
    <row r="485" s="4" customFormat="1" ht="15.75">
      <c r="A485" s="17"/>
    </row>
    <row r="486" s="4" customFormat="1" ht="15.75">
      <c r="A486" s="17"/>
    </row>
    <row r="487" s="4" customFormat="1" ht="15.75">
      <c r="A487" s="17"/>
    </row>
    <row r="488" s="4" customFormat="1" ht="15.75">
      <c r="A488" s="17"/>
    </row>
    <row r="489" s="4" customFormat="1" ht="15.75">
      <c r="A489" s="17"/>
    </row>
    <row r="490" s="4" customFormat="1" ht="15.75">
      <c r="A490" s="17"/>
    </row>
    <row r="491" s="4" customFormat="1" ht="15.75">
      <c r="A491" s="17"/>
    </row>
    <row r="492" s="4" customFormat="1" ht="15.75">
      <c r="A492" s="17"/>
    </row>
    <row r="493" s="4" customFormat="1" ht="15.75">
      <c r="A493" s="17"/>
    </row>
    <row r="494" s="4" customFormat="1" ht="15.75">
      <c r="A494" s="17"/>
    </row>
    <row r="495" s="4" customFormat="1" ht="15.75">
      <c r="A495" s="17"/>
    </row>
    <row r="496" s="4" customFormat="1" ht="15.75">
      <c r="A496" s="17"/>
    </row>
    <row r="497" s="4" customFormat="1" ht="15.75">
      <c r="A497" s="17"/>
    </row>
    <row r="498" s="4" customFormat="1" ht="15.75">
      <c r="A498" s="17"/>
    </row>
    <row r="499" s="4" customFormat="1" ht="15.75">
      <c r="A499" s="17"/>
    </row>
    <row r="500" s="4" customFormat="1" ht="15.75">
      <c r="A500" s="17"/>
    </row>
    <row r="501" s="4" customFormat="1" ht="15.75">
      <c r="A501" s="17"/>
    </row>
    <row r="502" s="4" customFormat="1" ht="15.75">
      <c r="A502" s="17"/>
    </row>
    <row r="503" s="4" customFormat="1" ht="15.75">
      <c r="A503" s="17"/>
    </row>
    <row r="504" s="4" customFormat="1" ht="15.75">
      <c r="A504" s="17"/>
    </row>
    <row r="505" s="4" customFormat="1" ht="15.75">
      <c r="A505" s="17"/>
    </row>
    <row r="506" s="4" customFormat="1" ht="15.75">
      <c r="A506" s="17"/>
    </row>
    <row r="507" s="4" customFormat="1" ht="15.75">
      <c r="A507" s="17"/>
    </row>
    <row r="508" s="4" customFormat="1" ht="15.75">
      <c r="A508" s="17"/>
    </row>
    <row r="509" s="4" customFormat="1" ht="15.75">
      <c r="A509" s="17"/>
    </row>
    <row r="510" s="4" customFormat="1" ht="15.75">
      <c r="A510" s="17"/>
    </row>
    <row r="511" s="4" customFormat="1" ht="15.75">
      <c r="A511" s="17"/>
    </row>
    <row r="512" s="4" customFormat="1" ht="15.75">
      <c r="A512" s="17"/>
    </row>
    <row r="513" s="4" customFormat="1" ht="15.75">
      <c r="A513" s="17"/>
    </row>
    <row r="514" s="4" customFormat="1" ht="15.75">
      <c r="A514" s="17"/>
    </row>
    <row r="515" s="4" customFormat="1" ht="15.75">
      <c r="A515" s="17"/>
    </row>
    <row r="516" s="4" customFormat="1" ht="15.75">
      <c r="A516" s="17"/>
    </row>
    <row r="517" s="4" customFormat="1" ht="15.75">
      <c r="A517" s="17"/>
    </row>
    <row r="518" s="4" customFormat="1" ht="15.75">
      <c r="A518" s="17"/>
    </row>
    <row r="519" s="4" customFormat="1" ht="15.75">
      <c r="A519" s="17"/>
    </row>
    <row r="520" s="4" customFormat="1" ht="15.75">
      <c r="A520" s="17"/>
    </row>
    <row r="521" s="4" customFormat="1" ht="15.75">
      <c r="A521" s="17"/>
    </row>
    <row r="522" s="4" customFormat="1" ht="15.75">
      <c r="A522" s="17"/>
    </row>
    <row r="523" s="4" customFormat="1" ht="15.75">
      <c r="A523" s="17"/>
    </row>
    <row r="524" s="4" customFormat="1" ht="15.75">
      <c r="A524" s="17"/>
    </row>
    <row r="525" s="4" customFormat="1" ht="15.75">
      <c r="A525" s="17"/>
    </row>
    <row r="526" s="4" customFormat="1" ht="15.75">
      <c r="A526" s="17"/>
    </row>
    <row r="527" s="4" customFormat="1" ht="15.75">
      <c r="A527" s="17"/>
    </row>
    <row r="528" s="4" customFormat="1" ht="15.75">
      <c r="A528" s="17"/>
    </row>
    <row r="529" s="4" customFormat="1" ht="15.75">
      <c r="A529" s="17"/>
    </row>
    <row r="530" s="4" customFormat="1" ht="15.75">
      <c r="A530" s="17"/>
    </row>
    <row r="531" s="4" customFormat="1" ht="15.75">
      <c r="A531" s="17"/>
    </row>
    <row r="532" s="4" customFormat="1" ht="15.75">
      <c r="A532" s="17"/>
    </row>
    <row r="533" s="4" customFormat="1" ht="15.75">
      <c r="A533" s="17"/>
    </row>
    <row r="534" s="4" customFormat="1" ht="15.75">
      <c r="A534" s="17"/>
    </row>
    <row r="535" s="4" customFormat="1" ht="15.75">
      <c r="A535" s="17"/>
    </row>
    <row r="536" s="4" customFormat="1" ht="15.75">
      <c r="A536" s="17"/>
    </row>
    <row r="537" s="4" customFormat="1" ht="15.75">
      <c r="A537" s="17"/>
    </row>
    <row r="538" s="4" customFormat="1" ht="15.75">
      <c r="A538" s="17"/>
    </row>
    <row r="539" s="4" customFormat="1" ht="15.75">
      <c r="A539" s="17"/>
    </row>
    <row r="540" s="4" customFormat="1" ht="15.75">
      <c r="A540" s="17"/>
    </row>
    <row r="541" s="4" customFormat="1" ht="15.75">
      <c r="A541" s="17"/>
    </row>
    <row r="542" s="4" customFormat="1" ht="15.75">
      <c r="A542" s="17"/>
    </row>
    <row r="543" s="4" customFormat="1" ht="15.75">
      <c r="A543" s="17"/>
    </row>
    <row r="544" s="4" customFormat="1" ht="15.75">
      <c r="A544" s="17"/>
    </row>
    <row r="545" s="4" customFormat="1" ht="15.75">
      <c r="A545" s="17"/>
    </row>
    <row r="546" s="4" customFormat="1" ht="15.75">
      <c r="A546" s="17"/>
    </row>
    <row r="547" s="4" customFormat="1" ht="15.75">
      <c r="A547" s="17"/>
    </row>
    <row r="548" s="4" customFormat="1" ht="15.75">
      <c r="A548" s="17"/>
    </row>
    <row r="549" s="4" customFormat="1" ht="15.75">
      <c r="A549" s="17"/>
    </row>
    <row r="550" s="4" customFormat="1" ht="15.75">
      <c r="A550" s="17"/>
    </row>
    <row r="551" s="4" customFormat="1" ht="15.75">
      <c r="A551" s="17"/>
    </row>
    <row r="552" s="4" customFormat="1" ht="15.75">
      <c r="A552" s="17"/>
    </row>
    <row r="553" s="4" customFormat="1" ht="15.75">
      <c r="A553" s="17"/>
    </row>
    <row r="554" s="4" customFormat="1" ht="15.75">
      <c r="A554" s="17"/>
    </row>
    <row r="555" s="4" customFormat="1" ht="15.75">
      <c r="A555" s="17"/>
    </row>
    <row r="556" s="4" customFormat="1" ht="15.75">
      <c r="A556" s="17"/>
    </row>
    <row r="557" s="4" customFormat="1" ht="15.75">
      <c r="A557" s="17"/>
    </row>
    <row r="558" s="4" customFormat="1" ht="15.75">
      <c r="A558" s="17"/>
    </row>
    <row r="559" s="4" customFormat="1" ht="15.75">
      <c r="A559" s="17"/>
    </row>
    <row r="560" s="4" customFormat="1" ht="15.75">
      <c r="A560" s="17"/>
    </row>
    <row r="561" s="4" customFormat="1" ht="15.75">
      <c r="A561" s="17"/>
    </row>
    <row r="562" s="4" customFormat="1" ht="15.75">
      <c r="A562" s="17"/>
    </row>
    <row r="563" s="4" customFormat="1" ht="15.75">
      <c r="A563" s="17"/>
    </row>
    <row r="564" s="4" customFormat="1" ht="15.75">
      <c r="A564" s="17"/>
    </row>
    <row r="565" s="4" customFormat="1" ht="15.75">
      <c r="A565" s="17"/>
    </row>
    <row r="566" s="4" customFormat="1" ht="15.75">
      <c r="A566" s="17"/>
    </row>
    <row r="567" s="4" customFormat="1" ht="15.75">
      <c r="A567" s="17"/>
    </row>
    <row r="568" s="4" customFormat="1" ht="15.75">
      <c r="A568" s="17"/>
    </row>
    <row r="569" s="4" customFormat="1" ht="15.75">
      <c r="A569" s="17"/>
    </row>
    <row r="570" s="4" customFormat="1" ht="15.75">
      <c r="A570" s="17"/>
    </row>
    <row r="571" s="4" customFormat="1" ht="15.75">
      <c r="A571" s="17"/>
    </row>
    <row r="572" s="4" customFormat="1" ht="15.75">
      <c r="A572" s="17"/>
    </row>
    <row r="573" s="4" customFormat="1" ht="15.75">
      <c r="A573" s="17"/>
    </row>
    <row r="574" s="4" customFormat="1" ht="15.75">
      <c r="A574" s="17"/>
    </row>
    <row r="575" s="4" customFormat="1" ht="15.75">
      <c r="A575" s="17"/>
    </row>
    <row r="576" s="4" customFormat="1" ht="15.75">
      <c r="A576" s="17"/>
    </row>
    <row r="577" s="4" customFormat="1" ht="15.75">
      <c r="A577" s="17"/>
    </row>
    <row r="578" s="4" customFormat="1" ht="15.75">
      <c r="A578" s="17"/>
    </row>
    <row r="579" s="4" customFormat="1" ht="15.75">
      <c r="A579" s="17"/>
    </row>
    <row r="580" s="4" customFormat="1" ht="15.75">
      <c r="A580" s="17"/>
    </row>
    <row r="581" s="4" customFormat="1" ht="15.75">
      <c r="A581" s="17"/>
    </row>
    <row r="582" s="4" customFormat="1" ht="15.75">
      <c r="A582" s="17"/>
    </row>
    <row r="583" s="4" customFormat="1" ht="15.75">
      <c r="A583" s="17"/>
    </row>
    <row r="584" s="4" customFormat="1" ht="15.75">
      <c r="A584" s="17"/>
    </row>
    <row r="585" s="4" customFormat="1" ht="15.75">
      <c r="A585" s="17"/>
    </row>
    <row r="586" s="4" customFormat="1" ht="15.75">
      <c r="A586" s="17"/>
    </row>
    <row r="587" s="4" customFormat="1" ht="15.75">
      <c r="A587" s="17"/>
    </row>
    <row r="588" s="4" customFormat="1" ht="15.75">
      <c r="A588" s="17"/>
    </row>
    <row r="589" s="4" customFormat="1" ht="15.75">
      <c r="A589" s="17"/>
    </row>
    <row r="590" s="4" customFormat="1" ht="15.75">
      <c r="A590" s="17"/>
    </row>
    <row r="591" s="4" customFormat="1" ht="15.75">
      <c r="A591" s="17"/>
    </row>
    <row r="592" s="4" customFormat="1" ht="15.75">
      <c r="A592" s="17"/>
    </row>
    <row r="593" s="4" customFormat="1" ht="15.75">
      <c r="A593" s="17"/>
    </row>
    <row r="594" s="4" customFormat="1" ht="15.75">
      <c r="A594" s="17"/>
    </row>
    <row r="595" s="4" customFormat="1" ht="15.75">
      <c r="A595" s="17"/>
    </row>
    <row r="596" s="4" customFormat="1" ht="15.75">
      <c r="A596" s="17"/>
    </row>
    <row r="597" s="4" customFormat="1" ht="15.75">
      <c r="A597" s="17"/>
    </row>
    <row r="598" s="4" customFormat="1" ht="15.75">
      <c r="A598" s="17"/>
    </row>
    <row r="599" s="4" customFormat="1" ht="15.75">
      <c r="A599" s="17"/>
    </row>
    <row r="600" s="4" customFormat="1" ht="15.75">
      <c r="A600" s="17"/>
    </row>
    <row r="601" s="4" customFormat="1" ht="15.75">
      <c r="A601" s="17"/>
    </row>
    <row r="602" s="4" customFormat="1" ht="15.75">
      <c r="A602" s="17"/>
    </row>
    <row r="603" s="4" customFormat="1" ht="15.75">
      <c r="A603" s="17"/>
    </row>
    <row r="604" s="4" customFormat="1" ht="15.75">
      <c r="A604" s="17"/>
    </row>
    <row r="605" s="4" customFormat="1" ht="15.75">
      <c r="A605" s="17"/>
    </row>
    <row r="606" s="4" customFormat="1" ht="15.75">
      <c r="A606" s="17"/>
    </row>
    <row r="607" s="4" customFormat="1" ht="15.75">
      <c r="A607" s="17"/>
    </row>
    <row r="608" s="4" customFormat="1" ht="15.75">
      <c r="A608" s="17"/>
    </row>
    <row r="609" s="4" customFormat="1" ht="15.75">
      <c r="A609" s="17"/>
    </row>
    <row r="610" s="4" customFormat="1" ht="15.75">
      <c r="A610" s="17"/>
    </row>
    <row r="611" s="4" customFormat="1" ht="15.75">
      <c r="A611" s="17"/>
    </row>
    <row r="612" s="4" customFormat="1" ht="15.75">
      <c r="A612" s="17"/>
    </row>
    <row r="613" s="4" customFormat="1" ht="15.75">
      <c r="A613" s="17"/>
    </row>
    <row r="614" s="4" customFormat="1" ht="15.75">
      <c r="A614" s="17"/>
    </row>
    <row r="615" s="4" customFormat="1" ht="15.75">
      <c r="A615" s="17"/>
    </row>
    <row r="616" s="4" customFormat="1" ht="15.75">
      <c r="A616" s="17"/>
    </row>
    <row r="617" s="4" customFormat="1" ht="15.75">
      <c r="A617" s="17"/>
    </row>
    <row r="618" s="4" customFormat="1" ht="15.75">
      <c r="A618" s="17"/>
    </row>
    <row r="619" s="4" customFormat="1" ht="15.75">
      <c r="A619" s="17"/>
    </row>
    <row r="620" s="4" customFormat="1" ht="15.75">
      <c r="A620" s="17"/>
    </row>
    <row r="621" s="4" customFormat="1" ht="15.75">
      <c r="A621" s="17"/>
    </row>
    <row r="622" s="4" customFormat="1" ht="15.75">
      <c r="A622" s="17"/>
    </row>
    <row r="623" s="4" customFormat="1" ht="15.75">
      <c r="A623" s="17"/>
    </row>
    <row r="624" s="4" customFormat="1" ht="15.75">
      <c r="A624" s="17"/>
    </row>
    <row r="625" s="4" customFormat="1" ht="15.75">
      <c r="A625" s="17"/>
    </row>
    <row r="626" s="4" customFormat="1" ht="15.75">
      <c r="A626" s="17"/>
    </row>
    <row r="627" s="4" customFormat="1" ht="15.75">
      <c r="A627" s="17"/>
    </row>
    <row r="628" s="4" customFormat="1" ht="15.75">
      <c r="A628" s="17"/>
    </row>
    <row r="629" s="4" customFormat="1" ht="15.75">
      <c r="A629" s="17"/>
    </row>
    <row r="630" s="4" customFormat="1" ht="15.75">
      <c r="A630" s="17"/>
    </row>
    <row r="631" s="4" customFormat="1" ht="15.75">
      <c r="A631" s="17"/>
    </row>
    <row r="632" s="4" customFormat="1" ht="15.75">
      <c r="A632" s="17"/>
    </row>
    <row r="633" s="4" customFormat="1" ht="15.75">
      <c r="A633" s="17"/>
    </row>
    <row r="634" s="4" customFormat="1" ht="15.75">
      <c r="A634" s="17"/>
    </row>
    <row r="635" s="4" customFormat="1" ht="15.75">
      <c r="A635" s="17"/>
    </row>
    <row r="636" s="4" customFormat="1" ht="15.75">
      <c r="A636" s="17"/>
    </row>
    <row r="637" s="4" customFormat="1" ht="15.75">
      <c r="A637" s="17"/>
    </row>
    <row r="638" s="4" customFormat="1" ht="15.75">
      <c r="A638" s="17"/>
    </row>
    <row r="639" s="4" customFormat="1" ht="15.75">
      <c r="A639" s="17"/>
    </row>
    <row r="640" s="4" customFormat="1" ht="15.75">
      <c r="A640" s="17"/>
    </row>
    <row r="641" s="4" customFormat="1" ht="15.75">
      <c r="A641" s="17"/>
    </row>
    <row r="642" s="4" customFormat="1" ht="15.75">
      <c r="A642" s="17"/>
    </row>
    <row r="643" s="4" customFormat="1" ht="15.75">
      <c r="A643" s="17"/>
    </row>
    <row r="644" s="4" customFormat="1" ht="15.75">
      <c r="A644" s="17"/>
    </row>
    <row r="645" s="4" customFormat="1" ht="15.75">
      <c r="A645" s="17"/>
    </row>
    <row r="646" s="4" customFormat="1" ht="15.75">
      <c r="A646" s="17"/>
    </row>
    <row r="647" s="4" customFormat="1" ht="15.75">
      <c r="A647" s="17"/>
    </row>
    <row r="648" s="4" customFormat="1" ht="15.75">
      <c r="A648" s="17"/>
    </row>
    <row r="649" s="4" customFormat="1" ht="15.75">
      <c r="A649" s="17"/>
    </row>
    <row r="650" s="4" customFormat="1" ht="15.75">
      <c r="A650" s="17"/>
    </row>
    <row r="651" s="4" customFormat="1" ht="15.75">
      <c r="A651" s="17"/>
    </row>
    <row r="652" s="4" customFormat="1" ht="15.75">
      <c r="A652" s="17"/>
    </row>
    <row r="653" s="4" customFormat="1" ht="15.75">
      <c r="A653" s="17"/>
    </row>
    <row r="654" s="4" customFormat="1" ht="15.75">
      <c r="A654" s="17"/>
    </row>
    <row r="655" s="4" customFormat="1" ht="15.75">
      <c r="A655" s="17"/>
    </row>
    <row r="656" s="4" customFormat="1" ht="15.75">
      <c r="A656" s="17"/>
    </row>
    <row r="657" s="4" customFormat="1" ht="15.75">
      <c r="A657" s="17"/>
    </row>
    <row r="658" s="4" customFormat="1" ht="15.75">
      <c r="A658" s="17"/>
    </row>
    <row r="659" s="4" customFormat="1" ht="15.75">
      <c r="A659" s="17"/>
    </row>
    <row r="660" s="4" customFormat="1" ht="15.75">
      <c r="A660" s="17"/>
    </row>
    <row r="661" s="4" customFormat="1" ht="15.75">
      <c r="A661" s="17"/>
    </row>
    <row r="662" s="4" customFormat="1" ht="15.75">
      <c r="A662" s="17"/>
    </row>
    <row r="663" s="4" customFormat="1" ht="15.75">
      <c r="A663" s="17"/>
    </row>
    <row r="664" s="4" customFormat="1" ht="15.75">
      <c r="A664" s="17"/>
    </row>
    <row r="665" s="4" customFormat="1" ht="15.75">
      <c r="A665" s="17"/>
    </row>
    <row r="666" s="4" customFormat="1" ht="15.75">
      <c r="A666" s="17"/>
    </row>
    <row r="667" s="4" customFormat="1" ht="15.75">
      <c r="A667" s="17"/>
    </row>
    <row r="668" ht="15.75">
      <c r="I668" s="4"/>
    </row>
    <row r="669" ht="15.75">
      <c r="I669" s="4"/>
    </row>
  </sheetData>
  <mergeCells count="8">
    <mergeCell ref="AF21:AJ21"/>
    <mergeCell ref="T77:X77"/>
    <mergeCell ref="Z77:AD77"/>
    <mergeCell ref="AF77:AJ77"/>
    <mergeCell ref="A13:M13"/>
    <mergeCell ref="A14:M14"/>
    <mergeCell ref="T21:X21"/>
    <mergeCell ref="Z21:AD21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I11"/>
  <sheetViews>
    <sheetView workbookViewId="0" topLeftCell="A10">
      <selection activeCell="C11" sqref="C11"/>
    </sheetView>
  </sheetViews>
  <sheetFormatPr defaultColWidth="8.88671875" defaultRowHeight="15.75"/>
  <cols>
    <col min="3" max="3" width="16.5546875" style="0" customWidth="1"/>
    <col min="4" max="4" width="14.99609375" style="0" customWidth="1"/>
    <col min="5" max="5" width="11.88671875" style="0" customWidth="1"/>
    <col min="7" max="7" width="1.4375" style="0" customWidth="1"/>
    <col min="8" max="8" width="10.88671875" style="0" customWidth="1"/>
  </cols>
  <sheetData>
    <row r="7" spans="1:8" ht="15.75">
      <c r="A7" s="47"/>
      <c r="B7" s="47"/>
      <c r="C7" s="47"/>
      <c r="D7" s="47"/>
      <c r="E7" s="47"/>
      <c r="F7" s="49"/>
      <c r="G7" s="47"/>
      <c r="H7" s="48"/>
    </row>
    <row r="8" spans="1:9" ht="12.75" customHeight="1">
      <c r="A8" s="87" t="s">
        <v>55</v>
      </c>
      <c r="B8" s="88"/>
      <c r="C8" s="51"/>
      <c r="F8" s="91" t="s">
        <v>44</v>
      </c>
      <c r="G8" s="92" t="s">
        <v>47</v>
      </c>
      <c r="H8" s="93" t="s">
        <v>48</v>
      </c>
      <c r="I8" s="50"/>
    </row>
    <row r="9" spans="1:9" ht="12.75" customHeight="1">
      <c r="A9" s="89" t="s">
        <v>53</v>
      </c>
      <c r="B9" s="88"/>
      <c r="C9" s="52"/>
      <c r="F9" s="91" t="s">
        <v>45</v>
      </c>
      <c r="G9" s="92" t="s">
        <v>47</v>
      </c>
      <c r="H9" s="93" t="s">
        <v>49</v>
      </c>
      <c r="I9" s="50"/>
    </row>
    <row r="10" spans="1:9" ht="12.75" customHeight="1">
      <c r="A10" s="90" t="s">
        <v>51</v>
      </c>
      <c r="B10" s="88"/>
      <c r="C10" s="53"/>
      <c r="F10" s="91" t="s">
        <v>46</v>
      </c>
      <c r="G10" s="92" t="s">
        <v>47</v>
      </c>
      <c r="H10" s="93" t="s">
        <v>50</v>
      </c>
      <c r="I10" s="50"/>
    </row>
    <row r="11" spans="1:8" ht="12.75" customHeight="1">
      <c r="A11" s="90" t="s">
        <v>52</v>
      </c>
      <c r="B11" s="88"/>
      <c r="C11" s="53"/>
      <c r="F11" s="41"/>
      <c r="H11" s="46"/>
    </row>
  </sheetData>
  <printOptions/>
  <pageMargins left="0.29" right="0.21" top="8.59" bottom="0" header="0.5" footer="0.44"/>
  <pageSetup horizontalDpi="300" verticalDpi="300" orientation="portrait" paperSize="9" r:id="rId3"/>
  <legacyDrawing r:id="rId2"/>
  <oleObjects>
    <oleObject progId="" shapeId="575357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2:G2"/>
  <sheetViews>
    <sheetView workbookViewId="0" topLeftCell="A1">
      <selection activeCell="F14" sqref="F14"/>
    </sheetView>
  </sheetViews>
  <sheetFormatPr defaultColWidth="8.88671875" defaultRowHeight="15.75"/>
  <cols>
    <col min="3" max="3" width="11.5546875" style="0" customWidth="1"/>
    <col min="4" max="4" width="13.5546875" style="0" customWidth="1"/>
    <col min="5" max="5" width="8.99609375" style="0" customWidth="1"/>
    <col min="6" max="6" width="8.10546875" style="0" customWidth="1"/>
    <col min="7" max="7" width="10.88671875" style="0" customWidth="1"/>
  </cols>
  <sheetData>
    <row r="2" spans="1:7" ht="15.75">
      <c r="A2" s="948" t="s">
        <v>69</v>
      </c>
      <c r="B2" s="949"/>
      <c r="C2" s="949"/>
      <c r="D2" s="949"/>
      <c r="E2" s="949"/>
      <c r="F2" s="949"/>
      <c r="G2" s="949"/>
    </row>
  </sheetData>
  <mergeCells count="1">
    <mergeCell ref="A2:G2"/>
  </mergeCells>
  <printOptions horizontalCentered="1"/>
  <pageMargins left="0.45" right="0.24" top="12.86" bottom="0" header="0.5" footer="0.46"/>
  <pageSetup horizontalDpi="300" verticalDpi="300" orientation="portrait" paperSize="5" r:id="rId3"/>
  <legacyDrawing r:id="rId2"/>
  <oleObjects>
    <oleObject progId="" shapeId="575681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C1:G25"/>
  <sheetViews>
    <sheetView workbookViewId="0" topLeftCell="A1">
      <selection activeCell="I5" sqref="I5"/>
    </sheetView>
  </sheetViews>
  <sheetFormatPr defaultColWidth="8.88671875" defaultRowHeight="15.75"/>
  <cols>
    <col min="1" max="1" width="2.10546875" style="0" customWidth="1"/>
    <col min="2" max="2" width="0.78125" style="0" customWidth="1"/>
    <col min="3" max="3" width="30.99609375" style="0" customWidth="1"/>
    <col min="4" max="4" width="0.88671875" style="0" customWidth="1"/>
    <col min="6" max="6" width="0.88671875" style="0" customWidth="1"/>
    <col min="7" max="7" width="9.4453125" style="0" bestFit="1" customWidth="1"/>
  </cols>
  <sheetData>
    <row r="1" ht="15.75">
      <c r="C1" t="s">
        <v>71</v>
      </c>
    </row>
    <row r="3" ht="15.75">
      <c r="C3" t="s">
        <v>141</v>
      </c>
    </row>
    <row r="5" ht="15.75">
      <c r="C5" t="s">
        <v>142</v>
      </c>
    </row>
    <row r="6" ht="15.75">
      <c r="E6" t="s">
        <v>89</v>
      </c>
    </row>
    <row r="7" ht="15.75">
      <c r="C7" s="105" t="s">
        <v>148</v>
      </c>
    </row>
    <row r="8" spans="3:5" ht="15.75">
      <c r="C8" t="s">
        <v>143</v>
      </c>
      <c r="E8">
        <v>1695</v>
      </c>
    </row>
    <row r="9" spans="3:5" ht="15.75">
      <c r="C9" t="s">
        <v>144</v>
      </c>
      <c r="E9" s="262">
        <v>781</v>
      </c>
    </row>
    <row r="10" spans="3:7" ht="16.5" thickBot="1">
      <c r="C10" t="s">
        <v>146</v>
      </c>
      <c r="G10" s="263">
        <f>+E8-E9</f>
        <v>914</v>
      </c>
    </row>
    <row r="12" spans="3:7" ht="16.5" thickBot="1">
      <c r="C12" t="s">
        <v>145</v>
      </c>
      <c r="G12" s="263">
        <v>358</v>
      </c>
    </row>
    <row r="14" spans="3:7" ht="16.5" thickBot="1">
      <c r="C14" t="s">
        <v>147</v>
      </c>
      <c r="G14" s="265">
        <f>+G12/G10*100</f>
        <v>39.16849015317287</v>
      </c>
    </row>
    <row r="17" ht="15.75">
      <c r="C17" s="105" t="s">
        <v>149</v>
      </c>
    </row>
    <row r="19" spans="3:5" ht="15.75">
      <c r="C19" t="s">
        <v>143</v>
      </c>
      <c r="E19">
        <v>974</v>
      </c>
    </row>
    <row r="20" spans="3:5" ht="15.75">
      <c r="C20" t="s">
        <v>144</v>
      </c>
      <c r="E20" s="262">
        <v>493</v>
      </c>
    </row>
    <row r="21" spans="3:7" ht="16.5" thickBot="1">
      <c r="C21" t="s">
        <v>146</v>
      </c>
      <c r="G21" s="263">
        <f>+E19-E20</f>
        <v>481</v>
      </c>
    </row>
    <row r="23" spans="3:7" ht="16.5" thickBot="1">
      <c r="C23" t="s">
        <v>150</v>
      </c>
      <c r="G23" s="264">
        <f>+G21*39.17%</f>
        <v>188.4077</v>
      </c>
    </row>
    <row r="25" spans="3:7" ht="16.5" thickBot="1">
      <c r="C25" t="s">
        <v>151</v>
      </c>
      <c r="G25" s="265">
        <f>+G23+0.09</f>
        <v>188.4977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875"/>
  <sheetViews>
    <sheetView workbookViewId="0" topLeftCell="A1">
      <selection activeCell="C11" sqref="C11"/>
    </sheetView>
  </sheetViews>
  <sheetFormatPr defaultColWidth="8.88671875" defaultRowHeight="15.75"/>
  <cols>
    <col min="1" max="1" width="3.3359375" style="18" customWidth="1"/>
    <col min="2" max="2" width="0.3359375" style="10" hidden="1" customWidth="1"/>
    <col min="3" max="3" width="42.77734375" style="10" customWidth="1"/>
    <col min="4" max="4" width="0.44140625" style="10" customWidth="1"/>
    <col min="5" max="5" width="10.21484375" style="10" customWidth="1"/>
    <col min="6" max="6" width="0.44140625" style="10" customWidth="1"/>
    <col min="7" max="7" width="10.3359375" style="10" customWidth="1"/>
    <col min="8" max="8" width="0.44140625" style="10" customWidth="1"/>
    <col min="9" max="9" width="10.3359375" style="10" customWidth="1"/>
    <col min="10" max="10" width="0.55078125" style="10" hidden="1" customWidth="1"/>
    <col min="11" max="11" width="6.21484375" style="10" customWidth="1"/>
    <col min="12" max="12" width="0.671875" style="10" customWidth="1"/>
    <col min="13" max="13" width="9.88671875" style="10" customWidth="1"/>
    <col min="14" max="14" width="0.78125" style="10" customWidth="1"/>
    <col min="15" max="15" width="9.6640625" style="10" bestFit="1" customWidth="1"/>
    <col min="16" max="16" width="0.78125" style="10" customWidth="1"/>
    <col min="17" max="17" width="8.77734375" style="10" customWidth="1"/>
    <col min="18" max="18" width="0.78125" style="10" customWidth="1"/>
    <col min="19" max="16384" width="8.77734375" style="10" customWidth="1"/>
  </cols>
  <sheetData>
    <row r="1" spans="1:11" ht="3.75" customHeight="1">
      <c r="A1" s="17"/>
      <c r="B1" s="4"/>
      <c r="C1" s="4"/>
      <c r="D1" s="4"/>
      <c r="F1" s="4"/>
      <c r="G1" s="4"/>
      <c r="H1" s="4"/>
      <c r="I1" s="4"/>
      <c r="J1" s="4"/>
      <c r="K1" s="4"/>
    </row>
    <row r="2" spans="1:12" ht="17.25" customHeight="1">
      <c r="A2" s="17" t="s">
        <v>91</v>
      </c>
      <c r="B2" s="4"/>
      <c r="C2" s="4"/>
      <c r="D2" s="4"/>
      <c r="E2" s="18"/>
      <c r="F2" s="17"/>
      <c r="G2" s="18"/>
      <c r="H2" s="18"/>
      <c r="I2" s="18"/>
      <c r="J2" s="18"/>
      <c r="K2" s="18"/>
      <c r="L2" s="18"/>
    </row>
    <row r="3" spans="1:14" ht="27.75" customHeight="1" thickBot="1">
      <c r="A3" s="17"/>
      <c r="B3" s="4"/>
      <c r="C3" s="4"/>
      <c r="G3" s="22" t="s">
        <v>81</v>
      </c>
      <c r="H3" s="14"/>
      <c r="I3" s="22" t="s">
        <v>81</v>
      </c>
      <c r="J3" s="14"/>
      <c r="K3" s="22"/>
      <c r="L3" s="4"/>
      <c r="N3" s="4"/>
    </row>
    <row r="4" spans="1:14" ht="15.75" customHeight="1">
      <c r="A4" s="55"/>
      <c r="B4" s="56"/>
      <c r="C4" s="56"/>
      <c r="D4" s="57"/>
      <c r="E4" s="104">
        <v>-3</v>
      </c>
      <c r="F4" s="95"/>
      <c r="G4" s="63">
        <v>-4</v>
      </c>
      <c r="H4" s="95"/>
      <c r="I4" s="63">
        <v>-5</v>
      </c>
      <c r="L4" s="39"/>
      <c r="N4" s="4"/>
    </row>
    <row r="5" spans="1:13" ht="17.25" customHeight="1">
      <c r="A5" s="58"/>
      <c r="B5" s="14"/>
      <c r="C5" s="59"/>
      <c r="D5" s="60"/>
      <c r="E5" s="106" t="s">
        <v>75</v>
      </c>
      <c r="F5" s="21"/>
      <c r="G5" s="65" t="s">
        <v>75</v>
      </c>
      <c r="H5" s="21"/>
      <c r="I5" s="65" t="s">
        <v>2</v>
      </c>
      <c r="M5" s="33"/>
    </row>
    <row r="6" spans="1:14" ht="17.25" customHeight="1">
      <c r="A6" s="58"/>
      <c r="B6" s="14"/>
      <c r="C6" s="14"/>
      <c r="D6" s="60"/>
      <c r="E6" s="106" t="s">
        <v>5</v>
      </c>
      <c r="F6" s="21"/>
      <c r="G6" s="65" t="s">
        <v>5</v>
      </c>
      <c r="H6" s="21"/>
      <c r="I6" s="65" t="s">
        <v>5</v>
      </c>
      <c r="M6" s="33"/>
      <c r="N6" s="6"/>
    </row>
    <row r="7" spans="1:14" ht="17.25" customHeight="1">
      <c r="A7" s="58"/>
      <c r="B7" s="14"/>
      <c r="C7" s="14"/>
      <c r="D7" s="60"/>
      <c r="E7" s="64" t="s">
        <v>79</v>
      </c>
      <c r="F7" s="21"/>
      <c r="G7" s="66" t="s">
        <v>72</v>
      </c>
      <c r="H7" s="21"/>
      <c r="I7" s="66" t="s">
        <v>80</v>
      </c>
      <c r="M7" s="66" t="s">
        <v>82</v>
      </c>
      <c r="N7" s="6"/>
    </row>
    <row r="8" spans="1:14" ht="17.25" customHeight="1" thickBot="1">
      <c r="A8" s="61"/>
      <c r="B8" s="62"/>
      <c r="C8" s="97" t="s">
        <v>56</v>
      </c>
      <c r="D8" s="75"/>
      <c r="E8" s="107"/>
      <c r="F8" s="62"/>
      <c r="G8" s="94"/>
      <c r="H8" s="14"/>
      <c r="I8" s="94" t="s">
        <v>6</v>
      </c>
      <c r="M8" s="34"/>
      <c r="N8" s="20"/>
    </row>
    <row r="9" spans="1:14" ht="15.75" customHeight="1">
      <c r="A9" s="55"/>
      <c r="B9" s="56"/>
      <c r="C9" s="98"/>
      <c r="D9" s="67"/>
      <c r="E9" s="85"/>
      <c r="F9" s="56"/>
      <c r="G9" s="85"/>
      <c r="H9" s="14"/>
      <c r="I9" s="85"/>
      <c r="M9" s="3"/>
      <c r="N9" s="20"/>
    </row>
    <row r="10" spans="1:14" ht="17.25" customHeight="1">
      <c r="A10" s="68">
        <v>1</v>
      </c>
      <c r="B10" s="14"/>
      <c r="C10" s="99" t="s">
        <v>14</v>
      </c>
      <c r="D10" s="117"/>
      <c r="E10" s="114">
        <v>79.51</v>
      </c>
      <c r="F10" s="118"/>
      <c r="G10" s="116">
        <v>24.12</v>
      </c>
      <c r="H10" s="117"/>
      <c r="I10" s="116">
        <f>3.83+111.78</f>
        <v>115.61</v>
      </c>
      <c r="M10" s="8">
        <f>7188.47+1</f>
        <v>7189.47</v>
      </c>
      <c r="N10" s="6"/>
    </row>
    <row r="11" spans="1:14" ht="17.25" customHeight="1">
      <c r="A11" s="68">
        <f>+A10+1</f>
        <v>2</v>
      </c>
      <c r="B11" s="14"/>
      <c r="C11" s="100" t="s">
        <v>63</v>
      </c>
      <c r="D11" s="117"/>
      <c r="E11" s="114"/>
      <c r="F11" s="118"/>
      <c r="G11" s="116"/>
      <c r="H11" s="117"/>
      <c r="I11" s="116"/>
      <c r="M11" s="8"/>
      <c r="N11" s="6"/>
    </row>
    <row r="12" spans="1:14" ht="17.25" customHeight="1">
      <c r="A12" s="68"/>
      <c r="B12" s="14"/>
      <c r="C12" s="100" t="s">
        <v>64</v>
      </c>
      <c r="D12" s="117"/>
      <c r="E12" s="119">
        <f>22.05</f>
        <v>22.05</v>
      </c>
      <c r="F12" s="121"/>
      <c r="G12" s="120">
        <v>0</v>
      </c>
      <c r="H12" s="117"/>
      <c r="I12" s="120">
        <v>0</v>
      </c>
      <c r="M12" s="8">
        <v>0</v>
      </c>
      <c r="N12" s="6"/>
    </row>
    <row r="13" spans="1:14" ht="17.25" customHeight="1">
      <c r="A13" s="69">
        <f>+A11+1</f>
        <v>3</v>
      </c>
      <c r="B13" s="14"/>
      <c r="C13" s="100" t="s">
        <v>17</v>
      </c>
      <c r="D13" s="117"/>
      <c r="E13" s="122">
        <v>142.13</v>
      </c>
      <c r="F13" s="121"/>
      <c r="G13" s="123">
        <v>128.95</v>
      </c>
      <c r="H13" s="117"/>
      <c r="I13" s="123">
        <v>315.81</v>
      </c>
      <c r="M13" s="35">
        <f>224.48-1</f>
        <v>223.48</v>
      </c>
      <c r="N13" s="6"/>
    </row>
    <row r="14" spans="1:14" ht="17.25" customHeight="1">
      <c r="A14" s="69">
        <f>+A13+1</f>
        <v>4</v>
      </c>
      <c r="B14" s="14"/>
      <c r="C14" s="9" t="s">
        <v>65</v>
      </c>
      <c r="D14" s="117"/>
      <c r="E14" s="124">
        <f>SUM(E10:E13)</f>
        <v>243.69</v>
      </c>
      <c r="F14" s="115"/>
      <c r="G14" s="125">
        <f>SUM(G10:G13)</f>
        <v>153.07</v>
      </c>
      <c r="H14" s="117"/>
      <c r="I14" s="125">
        <f>SUM(I10:I13)</f>
        <v>431.42</v>
      </c>
      <c r="M14" s="125">
        <f>SUM(M10:M13)</f>
        <v>7412.95</v>
      </c>
      <c r="N14" s="6"/>
    </row>
    <row r="15" spans="1:14" ht="17.25" customHeight="1">
      <c r="A15" s="68">
        <f>+A14+1</f>
        <v>5</v>
      </c>
      <c r="B15" s="14"/>
      <c r="C15" s="9" t="s">
        <v>57</v>
      </c>
      <c r="D15" s="117"/>
      <c r="E15" s="114"/>
      <c r="F15" s="115"/>
      <c r="G15" s="116"/>
      <c r="H15" s="117"/>
      <c r="I15" s="116"/>
      <c r="M15" s="116"/>
      <c r="N15" s="6"/>
    </row>
    <row r="16" spans="1:14" ht="17.25" customHeight="1">
      <c r="A16" s="68"/>
      <c r="B16" s="14"/>
      <c r="C16" s="14" t="s">
        <v>12</v>
      </c>
      <c r="D16" s="117"/>
      <c r="E16" s="119">
        <v>7.99</v>
      </c>
      <c r="F16" s="121"/>
      <c r="G16" s="120">
        <v>7.78</v>
      </c>
      <c r="H16" s="117"/>
      <c r="I16" s="120">
        <v>17.11</v>
      </c>
      <c r="M16" s="120">
        <v>391.86</v>
      </c>
      <c r="N16" s="6"/>
    </row>
    <row r="17" spans="1:14" ht="17.25" customHeight="1">
      <c r="A17" s="68"/>
      <c r="B17" s="14"/>
      <c r="C17" s="14" t="s">
        <v>19</v>
      </c>
      <c r="D17" s="117"/>
      <c r="E17" s="119">
        <v>5.06</v>
      </c>
      <c r="F17" s="121"/>
      <c r="G17" s="120">
        <v>9.92</v>
      </c>
      <c r="H17" s="117"/>
      <c r="I17" s="120">
        <v>16.06</v>
      </c>
      <c r="M17" s="120">
        <v>3185.49</v>
      </c>
      <c r="N17" s="6"/>
    </row>
    <row r="18" spans="1:14" ht="17.25" customHeight="1">
      <c r="A18" s="68"/>
      <c r="B18" s="14"/>
      <c r="C18" s="14" t="s">
        <v>20</v>
      </c>
      <c r="D18" s="117"/>
      <c r="E18" s="119">
        <v>6.21</v>
      </c>
      <c r="F18" s="121"/>
      <c r="G18" s="120">
        <v>0</v>
      </c>
      <c r="H18" s="117"/>
      <c r="I18" s="120">
        <v>0.73</v>
      </c>
      <c r="M18" s="120">
        <v>41.47</v>
      </c>
      <c r="N18" s="6"/>
    </row>
    <row r="19" spans="1:14" ht="17.25" customHeight="1">
      <c r="A19" s="68"/>
      <c r="B19" s="14"/>
      <c r="C19" s="100" t="s">
        <v>15</v>
      </c>
      <c r="D19" s="117"/>
      <c r="E19" s="119">
        <v>116.19</v>
      </c>
      <c r="F19" s="121"/>
      <c r="G19" s="120">
        <v>61.94</v>
      </c>
      <c r="H19" s="117"/>
      <c r="I19" s="120">
        <v>121.47</v>
      </c>
      <c r="M19" s="120">
        <v>1040.23</v>
      </c>
      <c r="N19" s="6"/>
    </row>
    <row r="20" spans="1:14" ht="17.25" customHeight="1">
      <c r="A20" s="68"/>
      <c r="B20" s="14"/>
      <c r="C20" s="100" t="s">
        <v>18</v>
      </c>
      <c r="D20" s="117"/>
      <c r="E20" s="119">
        <v>154.94</v>
      </c>
      <c r="F20" s="121"/>
      <c r="G20" s="120">
        <v>146.09</v>
      </c>
      <c r="H20" s="117"/>
      <c r="I20" s="120">
        <v>329.57</v>
      </c>
      <c r="M20" s="120">
        <f>6733.96-SUM(M16:M19)</f>
        <v>2074.9100000000008</v>
      </c>
      <c r="N20" s="6"/>
    </row>
    <row r="21" spans="1:14" ht="17.25" customHeight="1">
      <c r="A21" s="68"/>
      <c r="B21" s="14"/>
      <c r="C21" s="14" t="s">
        <v>30</v>
      </c>
      <c r="D21" s="117"/>
      <c r="E21" s="124">
        <f>SUM(E16:E20)</f>
        <v>290.39</v>
      </c>
      <c r="F21" s="115"/>
      <c r="G21" s="125">
        <f>SUM(G16:G20)</f>
        <v>225.73000000000002</v>
      </c>
      <c r="H21" s="117"/>
      <c r="I21" s="125">
        <f>SUM(I16:I20)</f>
        <v>484.94</v>
      </c>
      <c r="M21" s="125">
        <f>SUM(M16:M20)</f>
        <v>6733.96</v>
      </c>
      <c r="N21" s="6"/>
    </row>
    <row r="22" spans="1:15" ht="17.25" customHeight="1">
      <c r="A22" s="68">
        <f>+A15+1</f>
        <v>6</v>
      </c>
      <c r="B22" s="14"/>
      <c r="C22" s="100" t="s">
        <v>58</v>
      </c>
      <c r="D22" s="117"/>
      <c r="E22" s="119">
        <f>39.15</f>
        <v>39.15</v>
      </c>
      <c r="F22" s="121"/>
      <c r="G22" s="120">
        <v>19.13</v>
      </c>
      <c r="H22" s="117"/>
      <c r="I22" s="120">
        <v>57.07</v>
      </c>
      <c r="L22" s="83"/>
      <c r="M22" s="120">
        <v>196.97</v>
      </c>
      <c r="N22" s="84"/>
      <c r="O22" s="83"/>
    </row>
    <row r="23" spans="1:14" ht="17.25" customHeight="1">
      <c r="A23" s="68">
        <f>+A22+1</f>
        <v>7</v>
      </c>
      <c r="B23" s="14"/>
      <c r="C23" s="100" t="s">
        <v>59</v>
      </c>
      <c r="D23" s="117"/>
      <c r="E23" s="122">
        <v>62.09</v>
      </c>
      <c r="F23" s="121"/>
      <c r="G23" s="123">
        <v>62.15</v>
      </c>
      <c r="H23" s="117"/>
      <c r="I23" s="123">
        <v>117.81</v>
      </c>
      <c r="M23" s="123">
        <v>113.36</v>
      </c>
      <c r="N23" s="6"/>
    </row>
    <row r="24" spans="1:14" ht="17.25" customHeight="1">
      <c r="A24" s="68">
        <f>+A23+1</f>
        <v>8</v>
      </c>
      <c r="B24" s="14"/>
      <c r="C24" s="99" t="s">
        <v>70</v>
      </c>
      <c r="D24" s="117"/>
      <c r="E24" s="119">
        <f>+E14-E21-E22-E23</f>
        <v>-147.94</v>
      </c>
      <c r="F24" s="121"/>
      <c r="G24" s="120">
        <f>+G14-G21-G22-G23</f>
        <v>-153.94000000000003</v>
      </c>
      <c r="H24" s="117"/>
      <c r="I24" s="120">
        <f>+I14-I21-I22-I23</f>
        <v>-228.39999999999998</v>
      </c>
      <c r="M24" s="120">
        <f>+M14-M21-M22-M23</f>
        <v>368.65999999999974</v>
      </c>
      <c r="N24" s="6"/>
    </row>
    <row r="25" spans="1:14" ht="17.25" customHeight="1">
      <c r="A25" s="68">
        <f>+A24+1</f>
        <v>9</v>
      </c>
      <c r="B25" s="14"/>
      <c r="C25" s="100" t="s">
        <v>67</v>
      </c>
      <c r="D25" s="117"/>
      <c r="E25" s="122">
        <v>33.49</v>
      </c>
      <c r="F25" s="121"/>
      <c r="G25" s="123">
        <v>32.68</v>
      </c>
      <c r="H25" s="117"/>
      <c r="I25" s="123">
        <v>61.66</v>
      </c>
      <c r="M25" s="123">
        <v>432.2</v>
      </c>
      <c r="N25" s="6"/>
    </row>
    <row r="26" spans="1:14" ht="17.25" customHeight="1">
      <c r="A26" s="68">
        <f>+A25+1</f>
        <v>10</v>
      </c>
      <c r="B26" s="14"/>
      <c r="C26" s="99" t="s">
        <v>60</v>
      </c>
      <c r="D26" s="117"/>
      <c r="E26" s="114">
        <f>+E24-E25</f>
        <v>-181.43</v>
      </c>
      <c r="F26" s="115"/>
      <c r="G26" s="116">
        <f>+G24-G25</f>
        <v>-186.62000000000003</v>
      </c>
      <c r="H26" s="117"/>
      <c r="I26" s="116">
        <f>+I24-I25</f>
        <v>-290.05999999999995</v>
      </c>
      <c r="M26" s="116">
        <f>+M24-M25</f>
        <v>-63.54000000000025</v>
      </c>
      <c r="N26" s="6"/>
    </row>
    <row r="27" spans="1:14" ht="17.25" customHeight="1">
      <c r="A27" s="68">
        <f>+A26+1</f>
        <v>11</v>
      </c>
      <c r="B27" s="14"/>
      <c r="C27" s="14" t="s">
        <v>7</v>
      </c>
      <c r="D27" s="117"/>
      <c r="E27" s="126"/>
      <c r="F27" s="117"/>
      <c r="G27" s="127"/>
      <c r="H27" s="117"/>
      <c r="I27" s="127"/>
      <c r="M27" s="127"/>
      <c r="N27" s="6"/>
    </row>
    <row r="28" spans="1:14" ht="17.25" customHeight="1">
      <c r="A28" s="68"/>
      <c r="B28" s="14"/>
      <c r="C28" s="14" t="s">
        <v>21</v>
      </c>
      <c r="D28" s="117"/>
      <c r="E28" s="122">
        <v>18.97</v>
      </c>
      <c r="F28" s="121"/>
      <c r="G28" s="123">
        <v>2.44</v>
      </c>
      <c r="H28" s="117"/>
      <c r="I28" s="123">
        <v>7.5</v>
      </c>
      <c r="M28" s="123">
        <v>0</v>
      </c>
      <c r="N28" s="6"/>
    </row>
    <row r="29" spans="1:14" ht="17.25" customHeight="1">
      <c r="A29" s="68">
        <f>+A27+1</f>
        <v>12</v>
      </c>
      <c r="B29" s="14"/>
      <c r="C29" s="99" t="s">
        <v>68</v>
      </c>
      <c r="D29" s="129"/>
      <c r="E29" s="114">
        <f>+E26-E28</f>
        <v>-200.4</v>
      </c>
      <c r="F29" s="118"/>
      <c r="G29" s="116">
        <f>+G26-G28</f>
        <v>-189.06000000000003</v>
      </c>
      <c r="H29" s="129"/>
      <c r="I29" s="116">
        <f>+I26-I28</f>
        <v>-297.55999999999995</v>
      </c>
      <c r="L29" s="11"/>
      <c r="M29" s="116">
        <f>+M26-M28</f>
        <v>-63.54000000000025</v>
      </c>
      <c r="N29" s="6"/>
    </row>
    <row r="30" spans="1:14" ht="17.25" customHeight="1">
      <c r="A30" s="68">
        <f>+A29+1</f>
        <v>13</v>
      </c>
      <c r="B30" s="14"/>
      <c r="C30" s="14" t="s">
        <v>8</v>
      </c>
      <c r="D30" s="117"/>
      <c r="E30" s="119"/>
      <c r="F30" s="121"/>
      <c r="G30" s="120"/>
      <c r="H30" s="117"/>
      <c r="I30" s="120"/>
      <c r="M30" s="120"/>
      <c r="N30" s="6"/>
    </row>
    <row r="31" spans="1:14" ht="17.25" customHeight="1">
      <c r="A31" s="68"/>
      <c r="B31" s="14"/>
      <c r="C31" s="14" t="s">
        <v>22</v>
      </c>
      <c r="D31" s="117"/>
      <c r="E31" s="119">
        <v>0.5</v>
      </c>
      <c r="F31" s="121"/>
      <c r="G31" s="120">
        <v>0</v>
      </c>
      <c r="H31" s="117"/>
      <c r="I31" s="120">
        <v>1.5</v>
      </c>
      <c r="M31" s="120">
        <v>2</v>
      </c>
      <c r="N31" s="6"/>
    </row>
    <row r="32" spans="1:14" ht="17.25" customHeight="1">
      <c r="A32" s="68"/>
      <c r="B32" s="14"/>
      <c r="C32" s="14" t="s">
        <v>23</v>
      </c>
      <c r="D32" s="117"/>
      <c r="E32" s="122">
        <v>0</v>
      </c>
      <c r="F32" s="121"/>
      <c r="G32" s="130">
        <v>0</v>
      </c>
      <c r="H32" s="117"/>
      <c r="I32" s="123">
        <v>0</v>
      </c>
      <c r="K32" s="4"/>
      <c r="M32" s="130">
        <v>-35</v>
      </c>
      <c r="N32" s="6"/>
    </row>
    <row r="33" spans="1:14" ht="17.25" customHeight="1" thickBot="1">
      <c r="A33" s="68">
        <f>+A30+1</f>
        <v>14</v>
      </c>
      <c r="B33" s="14"/>
      <c r="C33" s="9" t="s">
        <v>61</v>
      </c>
      <c r="D33" s="117"/>
      <c r="E33" s="131">
        <f>+E29-E31-E32</f>
        <v>-200.9</v>
      </c>
      <c r="F33" s="118"/>
      <c r="G33" s="132">
        <f>+G29-G31-G32</f>
        <v>-189.06000000000003</v>
      </c>
      <c r="H33" s="117"/>
      <c r="I33" s="132">
        <f>+I29-I31-I32</f>
        <v>-299.05999999999995</v>
      </c>
      <c r="M33" s="132">
        <f>+M29-M31-M32</f>
        <v>-30.540000000000248</v>
      </c>
      <c r="N33" s="20"/>
    </row>
    <row r="34" spans="1:14" ht="6" customHeight="1" thickTop="1">
      <c r="A34" s="68"/>
      <c r="B34" s="14"/>
      <c r="C34" s="9"/>
      <c r="D34" s="117"/>
      <c r="E34" s="114"/>
      <c r="F34" s="118"/>
      <c r="G34" s="116"/>
      <c r="H34" s="117"/>
      <c r="I34" s="116"/>
      <c r="M34" s="116"/>
      <c r="N34" s="20"/>
    </row>
    <row r="35" spans="1:14" ht="17.25" customHeight="1">
      <c r="A35" s="69">
        <f>+A33+1</f>
        <v>15</v>
      </c>
      <c r="B35" s="14"/>
      <c r="C35" s="101" t="s">
        <v>24</v>
      </c>
      <c r="D35" s="117"/>
      <c r="E35" s="133">
        <v>257.43</v>
      </c>
      <c r="F35" s="118"/>
      <c r="G35" s="134">
        <v>257.43</v>
      </c>
      <c r="H35" s="117"/>
      <c r="I35" s="134">
        <v>257.43</v>
      </c>
      <c r="M35" s="134">
        <v>1245.34</v>
      </c>
      <c r="N35" s="6"/>
    </row>
    <row r="36" spans="1:14" ht="17.25" customHeight="1">
      <c r="A36" s="68"/>
      <c r="B36" s="14"/>
      <c r="C36" s="19" t="s">
        <v>16</v>
      </c>
      <c r="D36" s="117"/>
      <c r="E36" s="136"/>
      <c r="F36" s="121"/>
      <c r="G36" s="136"/>
      <c r="H36" s="117"/>
      <c r="I36" s="136"/>
      <c r="M36" s="136"/>
      <c r="N36" s="6"/>
    </row>
    <row r="37" spans="1:14" ht="17.25" customHeight="1">
      <c r="A37" s="69">
        <f>+A35+1</f>
        <v>16</v>
      </c>
      <c r="B37" s="14"/>
      <c r="C37" s="101" t="s">
        <v>1</v>
      </c>
      <c r="D37" s="117"/>
      <c r="E37" s="137"/>
      <c r="F37" s="118"/>
      <c r="G37" s="137"/>
      <c r="H37" s="117"/>
      <c r="I37" s="137">
        <v>5407.11</v>
      </c>
      <c r="L37" s="2"/>
      <c r="M37" s="137"/>
      <c r="N37" s="6"/>
    </row>
    <row r="38" spans="1:13" ht="17.25" customHeight="1">
      <c r="A38" s="69">
        <f>+A37+1</f>
        <v>17</v>
      </c>
      <c r="B38" s="32"/>
      <c r="C38" s="70" t="s">
        <v>25</v>
      </c>
      <c r="D38" s="70"/>
      <c r="E38" s="77">
        <f>+E33/E35*10</f>
        <v>-7.804063240492561</v>
      </c>
      <c r="F38" s="70"/>
      <c r="G38" s="79">
        <f>+G33/G35*10</f>
        <v>-7.344132385502856</v>
      </c>
      <c r="H38" s="70"/>
      <c r="I38" s="79">
        <f>+I33/I35*10</f>
        <v>-11.61713863963019</v>
      </c>
      <c r="M38" s="79">
        <f>+M33/M35*10</f>
        <v>-0.24523423322145158</v>
      </c>
    </row>
    <row r="39" spans="1:13" ht="23.25" customHeight="1" thickBot="1">
      <c r="A39" s="74"/>
      <c r="B39" s="75"/>
      <c r="C39" s="102" t="s">
        <v>26</v>
      </c>
      <c r="D39" s="76"/>
      <c r="E39" s="177" t="s">
        <v>73</v>
      </c>
      <c r="F39" s="75"/>
      <c r="G39" s="178" t="s">
        <v>73</v>
      </c>
      <c r="H39" s="75"/>
      <c r="I39" s="178" t="s">
        <v>13</v>
      </c>
      <c r="M39" s="80" t="s">
        <v>73</v>
      </c>
    </row>
    <row r="40" spans="1:13" ht="18" customHeight="1" hidden="1">
      <c r="A40" s="69">
        <f>+A38+1</f>
        <v>18</v>
      </c>
      <c r="B40" s="32"/>
      <c r="C40" s="70" t="s">
        <v>27</v>
      </c>
      <c r="D40" s="71"/>
      <c r="E40" s="78"/>
      <c r="F40" s="32"/>
      <c r="G40" s="80"/>
      <c r="H40" s="32"/>
      <c r="I40" s="80"/>
      <c r="M40" s="80"/>
    </row>
    <row r="41" spans="1:13" ht="20.25" customHeight="1" hidden="1">
      <c r="A41" s="69"/>
      <c r="B41" s="32"/>
      <c r="C41" s="70" t="s">
        <v>28</v>
      </c>
      <c r="D41" s="72"/>
      <c r="E41" s="103">
        <v>0</v>
      </c>
      <c r="F41" s="72"/>
      <c r="G41" s="81">
        <v>3648159</v>
      </c>
      <c r="H41" s="73"/>
      <c r="I41" s="81">
        <v>3636659</v>
      </c>
      <c r="M41" s="81">
        <v>3648159</v>
      </c>
    </row>
    <row r="42" spans="1:13" ht="20.25" customHeight="1" hidden="1" thickBot="1">
      <c r="A42" s="74"/>
      <c r="B42" s="75"/>
      <c r="C42" s="102" t="s">
        <v>29</v>
      </c>
      <c r="D42" s="76"/>
      <c r="E42" s="86">
        <f>+E41/12453402</f>
        <v>0</v>
      </c>
      <c r="F42" s="75"/>
      <c r="G42" s="82">
        <f>+G41/12453402</f>
        <v>0.29294477123600443</v>
      </c>
      <c r="H42" s="32"/>
      <c r="I42" s="82">
        <f>+I41/12453402</f>
        <v>0.2920213287903177</v>
      </c>
      <c r="M42" s="82">
        <f>+M41/12453402</f>
        <v>0.29294477123600443</v>
      </c>
    </row>
    <row r="43" spans="1:13" ht="6" customHeight="1">
      <c r="A43" s="23"/>
      <c r="C43" s="26"/>
      <c r="D43" s="11"/>
      <c r="E43" s="36"/>
      <c r="G43" s="37"/>
      <c r="H43" s="32"/>
      <c r="I43" s="37"/>
      <c r="M43" s="37"/>
    </row>
    <row r="44" spans="1:13" ht="20.25" customHeight="1">
      <c r="A44" s="23"/>
      <c r="C44" s="26"/>
      <c r="E44" s="36"/>
      <c r="F44" s="11"/>
      <c r="G44" s="36"/>
      <c r="I44" s="36"/>
      <c r="K44" s="36"/>
      <c r="M44" s="36"/>
    </row>
    <row r="45" s="4" customFormat="1" ht="15.75">
      <c r="A45" s="17"/>
    </row>
    <row r="46" s="4" customFormat="1" ht="15.75">
      <c r="A46" s="17"/>
    </row>
    <row r="47" s="4" customFormat="1" ht="15.75">
      <c r="A47" s="17"/>
    </row>
    <row r="48" s="4" customFormat="1" ht="15.75">
      <c r="A48" s="17"/>
    </row>
    <row r="49" s="4" customFormat="1" ht="15.75">
      <c r="A49" s="17"/>
    </row>
    <row r="50" s="4" customFormat="1" ht="15.75">
      <c r="A50" s="17"/>
    </row>
    <row r="51" s="4" customFormat="1" ht="15.75">
      <c r="A51" s="17"/>
    </row>
    <row r="52" s="4" customFormat="1" ht="15.75">
      <c r="A52" s="17"/>
    </row>
    <row r="53" s="4" customFormat="1" ht="15.75">
      <c r="A53" s="17"/>
    </row>
    <row r="54" s="4" customFormat="1" ht="15.75">
      <c r="A54" s="17"/>
    </row>
    <row r="55" s="4" customFormat="1" ht="15.75">
      <c r="A55" s="17"/>
    </row>
    <row r="56" s="4" customFormat="1" ht="15.75">
      <c r="A56" s="17"/>
    </row>
    <row r="57" s="4" customFormat="1" ht="15.75">
      <c r="A57" s="17"/>
    </row>
    <row r="58" s="4" customFormat="1" ht="15.75">
      <c r="A58" s="17"/>
    </row>
    <row r="59" s="4" customFormat="1" ht="15.75">
      <c r="A59" s="17"/>
    </row>
    <row r="60" s="4" customFormat="1" ht="15.75">
      <c r="A60" s="17"/>
    </row>
    <row r="61" s="4" customFormat="1" ht="15.75">
      <c r="A61" s="17"/>
    </row>
    <row r="62" s="4" customFormat="1" ht="15.75">
      <c r="A62" s="17"/>
    </row>
    <row r="63" s="4" customFormat="1" ht="15.75">
      <c r="A63" s="17"/>
    </row>
    <row r="64" s="4" customFormat="1" ht="15.75">
      <c r="A64" s="17"/>
    </row>
    <row r="65" s="4" customFormat="1" ht="15.75">
      <c r="A65" s="17"/>
    </row>
    <row r="66" s="4" customFormat="1" ht="15.75">
      <c r="A66" s="17"/>
    </row>
    <row r="67" s="4" customFormat="1" ht="15.75">
      <c r="A67" s="17"/>
    </row>
    <row r="68" s="4" customFormat="1" ht="15.75">
      <c r="A68" s="17"/>
    </row>
    <row r="69" s="4" customFormat="1" ht="15.75">
      <c r="A69" s="17"/>
    </row>
    <row r="70" s="4" customFormat="1" ht="15.75">
      <c r="A70" s="17"/>
    </row>
    <row r="71" s="4" customFormat="1" ht="15.75">
      <c r="A71" s="17"/>
    </row>
    <row r="72" s="4" customFormat="1" ht="15.75">
      <c r="A72" s="17"/>
    </row>
    <row r="73" s="4" customFormat="1" ht="15.75">
      <c r="A73" s="17"/>
    </row>
    <row r="74" s="4" customFormat="1" ht="15.75">
      <c r="A74" s="17"/>
    </row>
    <row r="75" s="4" customFormat="1" ht="15.75">
      <c r="A75" s="17"/>
    </row>
    <row r="76" s="4" customFormat="1" ht="15.75">
      <c r="A76" s="17"/>
    </row>
    <row r="77" s="4" customFormat="1" ht="15.75">
      <c r="A77" s="17"/>
    </row>
    <row r="78" s="4" customFormat="1" ht="15.75">
      <c r="A78" s="17"/>
    </row>
    <row r="79" s="4" customFormat="1" ht="15.75">
      <c r="A79" s="17"/>
    </row>
    <row r="80" s="4" customFormat="1" ht="15.75">
      <c r="A80" s="17"/>
    </row>
    <row r="81" s="4" customFormat="1" ht="15.75">
      <c r="A81" s="17"/>
    </row>
    <row r="82" s="4" customFormat="1" ht="15.75">
      <c r="A82" s="17"/>
    </row>
    <row r="83" s="4" customFormat="1" ht="15.75">
      <c r="A83" s="17"/>
    </row>
    <row r="84" s="4" customFormat="1" ht="15.75">
      <c r="A84" s="17"/>
    </row>
    <row r="85" s="4" customFormat="1" ht="15.75">
      <c r="A85" s="17"/>
    </row>
    <row r="86" s="4" customFormat="1" ht="15.75">
      <c r="A86" s="17"/>
    </row>
    <row r="87" s="4" customFormat="1" ht="15.75">
      <c r="A87" s="17"/>
    </row>
    <row r="88" s="4" customFormat="1" ht="15.75">
      <c r="A88" s="17"/>
    </row>
    <row r="89" s="4" customFormat="1" ht="15.75">
      <c r="A89" s="17"/>
    </row>
    <row r="90" s="4" customFormat="1" ht="15.75">
      <c r="A90" s="17"/>
    </row>
    <row r="91" s="4" customFormat="1" ht="15.75">
      <c r="A91" s="17"/>
    </row>
    <row r="92" s="4" customFormat="1" ht="15.75">
      <c r="A92" s="17"/>
    </row>
    <row r="93" s="4" customFormat="1" ht="15.75">
      <c r="A93" s="17"/>
    </row>
    <row r="94" s="4" customFormat="1" ht="15.75">
      <c r="A94" s="17"/>
    </row>
    <row r="95" s="4" customFormat="1" ht="15.75">
      <c r="A95" s="17"/>
    </row>
    <row r="96" s="4" customFormat="1" ht="15.75">
      <c r="A96" s="17"/>
    </row>
    <row r="97" s="4" customFormat="1" ht="15.75">
      <c r="A97" s="17"/>
    </row>
    <row r="98" s="4" customFormat="1" ht="15.75">
      <c r="A98" s="17"/>
    </row>
    <row r="99" s="4" customFormat="1" ht="15.75">
      <c r="A99" s="17"/>
    </row>
    <row r="100" s="4" customFormat="1" ht="15.75">
      <c r="A100" s="17"/>
    </row>
    <row r="101" s="4" customFormat="1" ht="15.75">
      <c r="A101" s="17"/>
    </row>
    <row r="102" s="4" customFormat="1" ht="15.75">
      <c r="A102" s="17"/>
    </row>
    <row r="103" s="4" customFormat="1" ht="15.75">
      <c r="A103" s="17"/>
    </row>
    <row r="104" s="4" customFormat="1" ht="15.75">
      <c r="A104" s="17"/>
    </row>
    <row r="105" s="4" customFormat="1" ht="15.75">
      <c r="A105" s="17"/>
    </row>
    <row r="106" s="4" customFormat="1" ht="15.75">
      <c r="A106" s="17"/>
    </row>
    <row r="107" s="4" customFormat="1" ht="15.75">
      <c r="A107" s="17"/>
    </row>
    <row r="108" s="4" customFormat="1" ht="15.75">
      <c r="A108" s="17"/>
    </row>
    <row r="109" s="4" customFormat="1" ht="15.75">
      <c r="A109" s="17"/>
    </row>
    <row r="110" s="4" customFormat="1" ht="15.75">
      <c r="A110" s="17"/>
    </row>
    <row r="111" s="4" customFormat="1" ht="15.75">
      <c r="A111" s="17"/>
    </row>
    <row r="112" s="4" customFormat="1" ht="15.75">
      <c r="A112" s="17"/>
    </row>
    <row r="113" s="4" customFormat="1" ht="15.75">
      <c r="A113" s="17"/>
    </row>
    <row r="114" s="4" customFormat="1" ht="15.75">
      <c r="A114" s="17"/>
    </row>
    <row r="115" s="4" customFormat="1" ht="15.75">
      <c r="A115" s="17"/>
    </row>
    <row r="116" s="4" customFormat="1" ht="15.75">
      <c r="A116" s="17"/>
    </row>
    <row r="117" s="4" customFormat="1" ht="15.75">
      <c r="A117" s="17"/>
    </row>
    <row r="118" s="4" customFormat="1" ht="15.75">
      <c r="A118" s="17"/>
    </row>
    <row r="119" s="4" customFormat="1" ht="15.75">
      <c r="A119" s="17"/>
    </row>
    <row r="120" s="4" customFormat="1" ht="15.75">
      <c r="A120" s="17"/>
    </row>
    <row r="121" s="4" customFormat="1" ht="15.75">
      <c r="A121" s="17"/>
    </row>
    <row r="122" s="4" customFormat="1" ht="15.75">
      <c r="A122" s="17"/>
    </row>
    <row r="123" s="4" customFormat="1" ht="15.75">
      <c r="A123" s="17"/>
    </row>
    <row r="124" s="4" customFormat="1" ht="15.75">
      <c r="A124" s="17"/>
    </row>
    <row r="125" s="4" customFormat="1" ht="15.75">
      <c r="A125" s="17"/>
    </row>
    <row r="126" s="4" customFormat="1" ht="15.75">
      <c r="A126" s="17"/>
    </row>
    <row r="127" s="4" customFormat="1" ht="15.75">
      <c r="A127" s="17"/>
    </row>
    <row r="128" s="4" customFormat="1" ht="15.75">
      <c r="A128" s="17"/>
    </row>
    <row r="129" s="4" customFormat="1" ht="15.75">
      <c r="A129" s="17"/>
    </row>
    <row r="130" s="4" customFormat="1" ht="15.75">
      <c r="A130" s="17"/>
    </row>
    <row r="131" s="4" customFormat="1" ht="15.75">
      <c r="A131" s="17"/>
    </row>
    <row r="132" s="4" customFormat="1" ht="15.75">
      <c r="A132" s="17"/>
    </row>
    <row r="133" s="4" customFormat="1" ht="15.75">
      <c r="A133" s="17"/>
    </row>
    <row r="134" s="4" customFormat="1" ht="15.75">
      <c r="A134" s="17"/>
    </row>
    <row r="135" s="4" customFormat="1" ht="15.75">
      <c r="A135" s="17"/>
    </row>
    <row r="136" s="4" customFormat="1" ht="15.75">
      <c r="A136" s="17"/>
    </row>
    <row r="137" s="4" customFormat="1" ht="15.75">
      <c r="A137" s="17"/>
    </row>
    <row r="138" s="4" customFormat="1" ht="15.75">
      <c r="A138" s="17"/>
    </row>
    <row r="139" s="4" customFormat="1" ht="15.75">
      <c r="A139" s="17"/>
    </row>
    <row r="140" s="4" customFormat="1" ht="15.75">
      <c r="A140" s="17"/>
    </row>
    <row r="141" s="4" customFormat="1" ht="15.75">
      <c r="A141" s="17"/>
    </row>
    <row r="142" s="4" customFormat="1" ht="15.75">
      <c r="A142" s="17"/>
    </row>
    <row r="143" s="4" customFormat="1" ht="15.75">
      <c r="A143" s="17"/>
    </row>
    <row r="144" s="4" customFormat="1" ht="15.75">
      <c r="A144" s="17"/>
    </row>
    <row r="145" s="4" customFormat="1" ht="15.75">
      <c r="A145" s="17"/>
    </row>
    <row r="146" s="4" customFormat="1" ht="15.75">
      <c r="A146" s="17"/>
    </row>
    <row r="147" s="4" customFormat="1" ht="15.75">
      <c r="A147" s="17"/>
    </row>
    <row r="148" s="4" customFormat="1" ht="15.75">
      <c r="A148" s="17"/>
    </row>
    <row r="149" s="4" customFormat="1" ht="15.75">
      <c r="A149" s="17"/>
    </row>
    <row r="150" s="4" customFormat="1" ht="15.75">
      <c r="A150" s="17"/>
    </row>
    <row r="151" s="4" customFormat="1" ht="15.75">
      <c r="A151" s="17"/>
    </row>
    <row r="152" s="4" customFormat="1" ht="15.75">
      <c r="A152" s="17"/>
    </row>
    <row r="153" s="4" customFormat="1" ht="15.75">
      <c r="A153" s="17"/>
    </row>
    <row r="154" s="4" customFormat="1" ht="15.75">
      <c r="A154" s="17"/>
    </row>
    <row r="155" s="4" customFormat="1" ht="15.75">
      <c r="A155" s="17"/>
    </row>
    <row r="156" s="4" customFormat="1" ht="15.75">
      <c r="A156" s="17"/>
    </row>
    <row r="157" s="4" customFormat="1" ht="15.75">
      <c r="A157" s="17"/>
    </row>
    <row r="158" s="4" customFormat="1" ht="15.75">
      <c r="A158" s="17"/>
    </row>
    <row r="159" s="4" customFormat="1" ht="15.75">
      <c r="A159" s="17"/>
    </row>
    <row r="160" s="4" customFormat="1" ht="15.75">
      <c r="A160" s="17"/>
    </row>
    <row r="161" s="4" customFormat="1" ht="15.75">
      <c r="A161" s="17"/>
    </row>
    <row r="162" s="4" customFormat="1" ht="15.75">
      <c r="A162" s="17"/>
    </row>
    <row r="163" s="4" customFormat="1" ht="15.75">
      <c r="A163" s="17"/>
    </row>
    <row r="164" s="4" customFormat="1" ht="15.75">
      <c r="A164" s="17"/>
    </row>
    <row r="165" s="4" customFormat="1" ht="15.75">
      <c r="A165" s="17"/>
    </row>
    <row r="166" s="4" customFormat="1" ht="15.75">
      <c r="A166" s="17"/>
    </row>
    <row r="167" s="4" customFormat="1" ht="15.75">
      <c r="A167" s="17"/>
    </row>
    <row r="168" s="4" customFormat="1" ht="15.75">
      <c r="A168" s="17"/>
    </row>
    <row r="169" s="4" customFormat="1" ht="15.75">
      <c r="A169" s="17"/>
    </row>
    <row r="170" s="4" customFormat="1" ht="15.75">
      <c r="A170" s="17"/>
    </row>
    <row r="171" s="4" customFormat="1" ht="15.75">
      <c r="A171" s="17"/>
    </row>
    <row r="172" s="4" customFormat="1" ht="15.75">
      <c r="A172" s="17"/>
    </row>
    <row r="173" s="4" customFormat="1" ht="15.75">
      <c r="A173" s="17"/>
    </row>
    <row r="174" s="4" customFormat="1" ht="15.75">
      <c r="A174" s="17"/>
    </row>
    <row r="175" s="4" customFormat="1" ht="15.75">
      <c r="A175" s="17"/>
    </row>
    <row r="176" s="4" customFormat="1" ht="15.75">
      <c r="A176" s="17"/>
    </row>
    <row r="177" s="4" customFormat="1" ht="15.75">
      <c r="A177" s="17"/>
    </row>
    <row r="178" s="4" customFormat="1" ht="15.75">
      <c r="A178" s="17"/>
    </row>
    <row r="179" s="4" customFormat="1" ht="15.75">
      <c r="A179" s="17"/>
    </row>
    <row r="180" s="4" customFormat="1" ht="15.75">
      <c r="A180" s="17"/>
    </row>
    <row r="181" s="4" customFormat="1" ht="15.75">
      <c r="A181" s="17"/>
    </row>
    <row r="182" s="4" customFormat="1" ht="15.75">
      <c r="A182" s="17"/>
    </row>
    <row r="183" s="4" customFormat="1" ht="15.75">
      <c r="A183" s="17"/>
    </row>
    <row r="184" s="4" customFormat="1" ht="15.75">
      <c r="A184" s="17"/>
    </row>
    <row r="185" s="4" customFormat="1" ht="15.75">
      <c r="A185" s="17"/>
    </row>
    <row r="186" s="4" customFormat="1" ht="15.75">
      <c r="A186" s="17"/>
    </row>
    <row r="187" s="4" customFormat="1" ht="15.75">
      <c r="A187" s="17"/>
    </row>
    <row r="188" s="4" customFormat="1" ht="15.75">
      <c r="A188" s="17"/>
    </row>
    <row r="189" s="4" customFormat="1" ht="15.75">
      <c r="A189" s="17"/>
    </row>
    <row r="190" s="4" customFormat="1" ht="15.75">
      <c r="A190" s="17"/>
    </row>
    <row r="191" s="4" customFormat="1" ht="15.75">
      <c r="A191" s="17"/>
    </row>
    <row r="192" s="4" customFormat="1" ht="15.75">
      <c r="A192" s="17"/>
    </row>
    <row r="193" s="4" customFormat="1" ht="15.75">
      <c r="A193" s="17"/>
    </row>
    <row r="194" s="4" customFormat="1" ht="15.75">
      <c r="A194" s="17"/>
    </row>
    <row r="195" s="4" customFormat="1" ht="15.75">
      <c r="A195" s="17"/>
    </row>
    <row r="196" s="4" customFormat="1" ht="15.75">
      <c r="A196" s="17"/>
    </row>
    <row r="197" s="4" customFormat="1" ht="15.75">
      <c r="A197" s="17"/>
    </row>
    <row r="198" s="4" customFormat="1" ht="15.75">
      <c r="A198" s="17"/>
    </row>
    <row r="199" s="4" customFormat="1" ht="15.75">
      <c r="A199" s="17"/>
    </row>
    <row r="200" s="4" customFormat="1" ht="15.75">
      <c r="A200" s="17"/>
    </row>
    <row r="201" s="4" customFormat="1" ht="15.75">
      <c r="A201" s="17"/>
    </row>
    <row r="202" s="4" customFormat="1" ht="15.75">
      <c r="A202" s="17"/>
    </row>
    <row r="203" s="4" customFormat="1" ht="15.75">
      <c r="A203" s="17"/>
    </row>
    <row r="204" s="4" customFormat="1" ht="15.75">
      <c r="A204" s="17"/>
    </row>
    <row r="205" s="4" customFormat="1" ht="15.75">
      <c r="A205" s="17"/>
    </row>
    <row r="206" s="4" customFormat="1" ht="15.75">
      <c r="A206" s="17"/>
    </row>
    <row r="207" s="4" customFormat="1" ht="15.75">
      <c r="A207" s="17"/>
    </row>
    <row r="208" s="4" customFormat="1" ht="15.75">
      <c r="A208" s="17"/>
    </row>
    <row r="209" s="4" customFormat="1" ht="15.75">
      <c r="A209" s="17"/>
    </row>
    <row r="210" s="4" customFormat="1" ht="15.75">
      <c r="A210" s="17"/>
    </row>
    <row r="211" s="4" customFormat="1" ht="15.75">
      <c r="A211" s="17"/>
    </row>
    <row r="212" s="4" customFormat="1" ht="15.75">
      <c r="A212" s="17"/>
    </row>
    <row r="213" s="4" customFormat="1" ht="15.75">
      <c r="A213" s="17"/>
    </row>
    <row r="214" s="4" customFormat="1" ht="15.75">
      <c r="A214" s="17"/>
    </row>
    <row r="215" s="4" customFormat="1" ht="15.75">
      <c r="A215" s="17"/>
    </row>
    <row r="216" s="4" customFormat="1" ht="15.75">
      <c r="A216" s="17"/>
    </row>
    <row r="217" s="4" customFormat="1" ht="15.75">
      <c r="A217" s="17"/>
    </row>
    <row r="218" s="4" customFormat="1" ht="15.75">
      <c r="A218" s="17"/>
    </row>
    <row r="219" s="4" customFormat="1" ht="15.75">
      <c r="A219" s="17"/>
    </row>
    <row r="220" s="4" customFormat="1" ht="15.75">
      <c r="A220" s="17"/>
    </row>
    <row r="221" s="4" customFormat="1" ht="15.75">
      <c r="A221" s="17"/>
    </row>
    <row r="222" s="4" customFormat="1" ht="15.75">
      <c r="A222" s="17"/>
    </row>
    <row r="223" s="4" customFormat="1" ht="15.75">
      <c r="A223" s="17"/>
    </row>
    <row r="224" s="4" customFormat="1" ht="15.75">
      <c r="A224" s="17"/>
    </row>
    <row r="225" s="4" customFormat="1" ht="15.75">
      <c r="A225" s="17"/>
    </row>
    <row r="226" s="4" customFormat="1" ht="15.75">
      <c r="A226" s="17"/>
    </row>
    <row r="227" s="4" customFormat="1" ht="15.75">
      <c r="A227" s="17"/>
    </row>
    <row r="228" s="4" customFormat="1" ht="15.75">
      <c r="A228" s="17"/>
    </row>
    <row r="229" s="4" customFormat="1" ht="15.75">
      <c r="A229" s="17"/>
    </row>
    <row r="230" s="4" customFormat="1" ht="15.75">
      <c r="A230" s="17"/>
    </row>
    <row r="231" s="4" customFormat="1" ht="15.75">
      <c r="A231" s="17"/>
    </row>
    <row r="232" s="4" customFormat="1" ht="15.75">
      <c r="A232" s="17"/>
    </row>
    <row r="233" s="4" customFormat="1" ht="15.75">
      <c r="A233" s="17"/>
    </row>
    <row r="234" s="4" customFormat="1" ht="15.75">
      <c r="A234" s="17"/>
    </row>
    <row r="235" s="4" customFormat="1" ht="15.75">
      <c r="A235" s="17"/>
    </row>
    <row r="236" s="4" customFormat="1" ht="15.75">
      <c r="A236" s="17"/>
    </row>
    <row r="237" s="4" customFormat="1" ht="15.75">
      <c r="A237" s="17"/>
    </row>
    <row r="238" s="4" customFormat="1" ht="15.75">
      <c r="A238" s="17"/>
    </row>
    <row r="239" s="4" customFormat="1" ht="15.75">
      <c r="A239" s="17"/>
    </row>
    <row r="240" s="4" customFormat="1" ht="15.75">
      <c r="A240" s="17"/>
    </row>
    <row r="241" s="4" customFormat="1" ht="15.75">
      <c r="A241" s="17"/>
    </row>
    <row r="242" s="4" customFormat="1" ht="15.75">
      <c r="A242" s="17"/>
    </row>
    <row r="243" s="4" customFormat="1" ht="15.75">
      <c r="A243" s="17"/>
    </row>
    <row r="244" s="4" customFormat="1" ht="15.75">
      <c r="A244" s="17"/>
    </row>
    <row r="245" s="4" customFormat="1" ht="15.75">
      <c r="A245" s="17"/>
    </row>
    <row r="246" s="4" customFormat="1" ht="15.75">
      <c r="A246" s="17"/>
    </row>
    <row r="247" s="4" customFormat="1" ht="15.75">
      <c r="A247" s="17"/>
    </row>
    <row r="248" s="4" customFormat="1" ht="15.75">
      <c r="A248" s="17"/>
    </row>
    <row r="249" s="4" customFormat="1" ht="15.75">
      <c r="A249" s="17"/>
    </row>
    <row r="250" s="4" customFormat="1" ht="15.75">
      <c r="A250" s="17"/>
    </row>
    <row r="251" s="4" customFormat="1" ht="15.75">
      <c r="A251" s="17"/>
    </row>
    <row r="252" s="4" customFormat="1" ht="15.75">
      <c r="A252" s="17"/>
    </row>
    <row r="253" s="4" customFormat="1" ht="15.75">
      <c r="A253" s="17"/>
    </row>
    <row r="254" s="4" customFormat="1" ht="15.75">
      <c r="A254" s="17"/>
    </row>
    <row r="255" s="4" customFormat="1" ht="15.75">
      <c r="A255" s="17"/>
    </row>
    <row r="256" s="4" customFormat="1" ht="15.75">
      <c r="A256" s="17"/>
    </row>
    <row r="257" s="4" customFormat="1" ht="15.75">
      <c r="A257" s="17"/>
    </row>
    <row r="258" s="4" customFormat="1" ht="15.75">
      <c r="A258" s="17"/>
    </row>
    <row r="259" s="4" customFormat="1" ht="15.75">
      <c r="A259" s="17"/>
    </row>
    <row r="260" s="4" customFormat="1" ht="15.75">
      <c r="A260" s="17"/>
    </row>
    <row r="261" s="4" customFormat="1" ht="15.75">
      <c r="A261" s="17"/>
    </row>
    <row r="262" s="4" customFormat="1" ht="15.75">
      <c r="A262" s="17"/>
    </row>
    <row r="263" s="4" customFormat="1" ht="15.75">
      <c r="A263" s="17"/>
    </row>
    <row r="264" s="4" customFormat="1" ht="15.75">
      <c r="A264" s="17"/>
    </row>
    <row r="265" s="4" customFormat="1" ht="15.75">
      <c r="A265" s="17"/>
    </row>
    <row r="266" s="4" customFormat="1" ht="15.75">
      <c r="A266" s="17"/>
    </row>
    <row r="267" s="4" customFormat="1" ht="15.75">
      <c r="A267" s="17"/>
    </row>
    <row r="268" s="4" customFormat="1" ht="15.75">
      <c r="A268" s="17"/>
    </row>
    <row r="269" s="4" customFormat="1" ht="15.75">
      <c r="A269" s="17"/>
    </row>
    <row r="270" s="4" customFormat="1" ht="15.75">
      <c r="A270" s="17"/>
    </row>
    <row r="271" s="4" customFormat="1" ht="15.75">
      <c r="A271" s="17"/>
    </row>
    <row r="272" s="4" customFormat="1" ht="15.75">
      <c r="A272" s="17"/>
    </row>
    <row r="273" s="4" customFormat="1" ht="15.75">
      <c r="A273" s="17"/>
    </row>
    <row r="274" s="4" customFormat="1" ht="15.75">
      <c r="A274" s="17"/>
    </row>
    <row r="275" s="4" customFormat="1" ht="15.75">
      <c r="A275" s="17"/>
    </row>
    <row r="276" s="4" customFormat="1" ht="15.75">
      <c r="A276" s="17"/>
    </row>
    <row r="277" s="4" customFormat="1" ht="15.75">
      <c r="A277" s="17"/>
    </row>
    <row r="278" s="4" customFormat="1" ht="15.75">
      <c r="A278" s="17"/>
    </row>
    <row r="279" s="4" customFormat="1" ht="15.75">
      <c r="A279" s="17"/>
    </row>
    <row r="280" s="4" customFormat="1" ht="15.75">
      <c r="A280" s="17"/>
    </row>
    <row r="281" s="4" customFormat="1" ht="15.75">
      <c r="A281" s="17"/>
    </row>
    <row r="282" s="4" customFormat="1" ht="15.75">
      <c r="A282" s="17"/>
    </row>
    <row r="283" s="4" customFormat="1" ht="15.75">
      <c r="A283" s="17"/>
    </row>
    <row r="284" s="4" customFormat="1" ht="15.75">
      <c r="A284" s="17"/>
    </row>
    <row r="285" s="4" customFormat="1" ht="15.75">
      <c r="A285" s="17"/>
    </row>
    <row r="286" s="4" customFormat="1" ht="15.75">
      <c r="A286" s="17"/>
    </row>
    <row r="287" s="4" customFormat="1" ht="15.75">
      <c r="A287" s="17"/>
    </row>
    <row r="288" s="4" customFormat="1" ht="15.75">
      <c r="A288" s="17"/>
    </row>
    <row r="289" s="4" customFormat="1" ht="15.75">
      <c r="A289" s="17"/>
    </row>
    <row r="290" s="4" customFormat="1" ht="15.75">
      <c r="A290" s="17"/>
    </row>
    <row r="291" s="4" customFormat="1" ht="15.75">
      <c r="A291" s="17"/>
    </row>
    <row r="292" s="4" customFormat="1" ht="15.75">
      <c r="A292" s="17"/>
    </row>
    <row r="293" s="4" customFormat="1" ht="15.75">
      <c r="A293" s="17"/>
    </row>
    <row r="294" s="4" customFormat="1" ht="15.75">
      <c r="A294" s="17"/>
    </row>
    <row r="295" s="4" customFormat="1" ht="15.75">
      <c r="A295" s="17"/>
    </row>
    <row r="296" s="4" customFormat="1" ht="15.75">
      <c r="A296" s="17"/>
    </row>
    <row r="297" s="4" customFormat="1" ht="15.75">
      <c r="A297" s="17"/>
    </row>
    <row r="298" s="4" customFormat="1" ht="15.75">
      <c r="A298" s="17"/>
    </row>
    <row r="299" s="4" customFormat="1" ht="15.75">
      <c r="A299" s="17"/>
    </row>
    <row r="300" s="4" customFormat="1" ht="15.75">
      <c r="A300" s="17"/>
    </row>
    <row r="301" s="4" customFormat="1" ht="15.75">
      <c r="A301" s="17"/>
    </row>
    <row r="302" s="4" customFormat="1" ht="15.75">
      <c r="A302" s="17"/>
    </row>
    <row r="303" s="4" customFormat="1" ht="15.75">
      <c r="A303" s="17"/>
    </row>
    <row r="304" s="4" customFormat="1" ht="15.75">
      <c r="A304" s="17"/>
    </row>
    <row r="305" s="4" customFormat="1" ht="15.75">
      <c r="A305" s="17"/>
    </row>
    <row r="306" s="4" customFormat="1" ht="15.75">
      <c r="A306" s="17"/>
    </row>
    <row r="307" s="4" customFormat="1" ht="15.75">
      <c r="A307" s="17"/>
    </row>
    <row r="308" s="4" customFormat="1" ht="15.75">
      <c r="A308" s="17"/>
    </row>
    <row r="309" s="4" customFormat="1" ht="15.75">
      <c r="A309" s="17"/>
    </row>
    <row r="310" s="4" customFormat="1" ht="15.75">
      <c r="A310" s="17"/>
    </row>
    <row r="311" s="4" customFormat="1" ht="15.75">
      <c r="A311" s="17"/>
    </row>
    <row r="312" s="4" customFormat="1" ht="15.75">
      <c r="A312" s="17"/>
    </row>
    <row r="313" s="4" customFormat="1" ht="15.75">
      <c r="A313" s="17"/>
    </row>
    <row r="314" s="4" customFormat="1" ht="15.75">
      <c r="A314" s="17"/>
    </row>
    <row r="315" s="4" customFormat="1" ht="15.75">
      <c r="A315" s="17"/>
    </row>
    <row r="316" s="4" customFormat="1" ht="15.75">
      <c r="A316" s="17"/>
    </row>
    <row r="317" s="4" customFormat="1" ht="15.75">
      <c r="A317" s="17"/>
    </row>
    <row r="318" s="4" customFormat="1" ht="15.75">
      <c r="A318" s="17"/>
    </row>
    <row r="319" s="4" customFormat="1" ht="15.75">
      <c r="A319" s="17"/>
    </row>
    <row r="320" s="4" customFormat="1" ht="15.75">
      <c r="A320" s="17"/>
    </row>
    <row r="321" s="4" customFormat="1" ht="15.75">
      <c r="A321" s="17"/>
    </row>
    <row r="322" s="4" customFormat="1" ht="15.75">
      <c r="A322" s="17"/>
    </row>
    <row r="323" s="4" customFormat="1" ht="15.75">
      <c r="A323" s="17"/>
    </row>
    <row r="324" s="4" customFormat="1" ht="15.75">
      <c r="A324" s="17"/>
    </row>
    <row r="325" s="4" customFormat="1" ht="15.75">
      <c r="A325" s="17"/>
    </row>
    <row r="326" s="4" customFormat="1" ht="15.75">
      <c r="A326" s="17"/>
    </row>
    <row r="327" s="4" customFormat="1" ht="15.75">
      <c r="A327" s="17"/>
    </row>
    <row r="328" s="4" customFormat="1" ht="15.75">
      <c r="A328" s="17"/>
    </row>
    <row r="329" s="4" customFormat="1" ht="15.75">
      <c r="A329" s="17"/>
    </row>
    <row r="330" s="4" customFormat="1" ht="15.75">
      <c r="A330" s="17"/>
    </row>
    <row r="331" s="4" customFormat="1" ht="15.75">
      <c r="A331" s="17"/>
    </row>
    <row r="332" s="4" customFormat="1" ht="15.75">
      <c r="A332" s="17"/>
    </row>
    <row r="333" s="4" customFormat="1" ht="15.75">
      <c r="A333" s="17"/>
    </row>
    <row r="334" s="4" customFormat="1" ht="15.75">
      <c r="A334" s="17"/>
    </row>
    <row r="335" s="4" customFormat="1" ht="15.75">
      <c r="A335" s="17"/>
    </row>
    <row r="336" s="4" customFormat="1" ht="15.75">
      <c r="A336" s="17"/>
    </row>
    <row r="337" s="4" customFormat="1" ht="15.75">
      <c r="A337" s="17"/>
    </row>
    <row r="338" s="4" customFormat="1" ht="15.75">
      <c r="A338" s="17"/>
    </row>
    <row r="339" s="4" customFormat="1" ht="15.75">
      <c r="A339" s="17"/>
    </row>
    <row r="340" s="4" customFormat="1" ht="15.75">
      <c r="A340" s="17"/>
    </row>
    <row r="341" s="4" customFormat="1" ht="15.75">
      <c r="A341" s="17"/>
    </row>
    <row r="342" s="4" customFormat="1" ht="15.75">
      <c r="A342" s="17"/>
    </row>
    <row r="343" s="4" customFormat="1" ht="15.75">
      <c r="A343" s="17"/>
    </row>
    <row r="344" s="4" customFormat="1" ht="15.75">
      <c r="A344" s="17"/>
    </row>
    <row r="345" s="4" customFormat="1" ht="15.75">
      <c r="A345" s="17"/>
    </row>
    <row r="346" s="4" customFormat="1" ht="15.75">
      <c r="A346" s="17"/>
    </row>
    <row r="347" s="4" customFormat="1" ht="15.75">
      <c r="A347" s="17"/>
    </row>
    <row r="348" s="4" customFormat="1" ht="15.75">
      <c r="A348" s="17"/>
    </row>
    <row r="349" s="4" customFormat="1" ht="15.75">
      <c r="A349" s="17"/>
    </row>
    <row r="350" s="4" customFormat="1" ht="15.75">
      <c r="A350" s="17"/>
    </row>
    <row r="351" s="4" customFormat="1" ht="15.75">
      <c r="A351" s="17"/>
    </row>
    <row r="352" s="4" customFormat="1" ht="15.75">
      <c r="A352" s="17"/>
    </row>
    <row r="353" s="4" customFormat="1" ht="15.75">
      <c r="A353" s="17"/>
    </row>
    <row r="354" s="4" customFormat="1" ht="15.75">
      <c r="A354" s="17"/>
    </row>
    <row r="355" s="4" customFormat="1" ht="15.75">
      <c r="A355" s="17"/>
    </row>
    <row r="356" s="4" customFormat="1" ht="15.75">
      <c r="A356" s="17"/>
    </row>
    <row r="357" s="4" customFormat="1" ht="15.75">
      <c r="A357" s="17"/>
    </row>
    <row r="358" s="4" customFormat="1" ht="15.75">
      <c r="A358" s="17"/>
    </row>
    <row r="359" s="4" customFormat="1" ht="15.75">
      <c r="A359" s="17"/>
    </row>
    <row r="360" s="4" customFormat="1" ht="15.75">
      <c r="A360" s="17"/>
    </row>
    <row r="361" s="4" customFormat="1" ht="15.75">
      <c r="A361" s="17"/>
    </row>
    <row r="362" s="4" customFormat="1" ht="15.75">
      <c r="A362" s="17"/>
    </row>
    <row r="363" s="4" customFormat="1" ht="15.75">
      <c r="A363" s="17"/>
    </row>
    <row r="364" s="4" customFormat="1" ht="15.75">
      <c r="A364" s="17"/>
    </row>
    <row r="365" s="4" customFormat="1" ht="15.75">
      <c r="A365" s="17"/>
    </row>
    <row r="366" s="4" customFormat="1" ht="15.75">
      <c r="A366" s="17"/>
    </row>
    <row r="367" s="4" customFormat="1" ht="15.75">
      <c r="A367" s="17"/>
    </row>
    <row r="368" s="4" customFormat="1" ht="15.75">
      <c r="A368" s="17"/>
    </row>
    <row r="369" s="4" customFormat="1" ht="15.75">
      <c r="A369" s="17"/>
    </row>
    <row r="370" s="4" customFormat="1" ht="15.75">
      <c r="A370" s="17"/>
    </row>
    <row r="371" s="4" customFormat="1" ht="15.75">
      <c r="A371" s="17"/>
    </row>
    <row r="372" s="4" customFormat="1" ht="15.75">
      <c r="A372" s="17"/>
    </row>
    <row r="373" s="4" customFormat="1" ht="15.75">
      <c r="A373" s="17"/>
    </row>
    <row r="374" s="4" customFormat="1" ht="15.75">
      <c r="A374" s="17"/>
    </row>
    <row r="375" s="4" customFormat="1" ht="15.75">
      <c r="A375" s="17"/>
    </row>
    <row r="376" s="4" customFormat="1" ht="15.75">
      <c r="A376" s="17"/>
    </row>
    <row r="377" s="4" customFormat="1" ht="15.75">
      <c r="A377" s="17"/>
    </row>
    <row r="378" s="4" customFormat="1" ht="15.75">
      <c r="A378" s="17"/>
    </row>
    <row r="379" s="4" customFormat="1" ht="15.75">
      <c r="A379" s="17"/>
    </row>
    <row r="380" s="4" customFormat="1" ht="15.75">
      <c r="A380" s="17"/>
    </row>
    <row r="381" s="4" customFormat="1" ht="15.75">
      <c r="A381" s="17"/>
    </row>
    <row r="382" s="4" customFormat="1" ht="15.75">
      <c r="A382" s="17"/>
    </row>
    <row r="383" s="4" customFormat="1" ht="15.75">
      <c r="A383" s="17"/>
    </row>
    <row r="384" s="4" customFormat="1" ht="15.75">
      <c r="A384" s="17"/>
    </row>
    <row r="385" s="4" customFormat="1" ht="15.75">
      <c r="A385" s="17"/>
    </row>
    <row r="386" s="4" customFormat="1" ht="15.75">
      <c r="A386" s="17"/>
    </row>
    <row r="387" s="4" customFormat="1" ht="15.75">
      <c r="A387" s="17"/>
    </row>
    <row r="388" s="4" customFormat="1" ht="15.75">
      <c r="A388" s="17"/>
    </row>
    <row r="389" s="4" customFormat="1" ht="15.75">
      <c r="A389" s="17"/>
    </row>
    <row r="390" s="4" customFormat="1" ht="15.75">
      <c r="A390" s="17"/>
    </row>
    <row r="391" s="4" customFormat="1" ht="15.75">
      <c r="A391" s="17"/>
    </row>
    <row r="392" s="4" customFormat="1" ht="15.75">
      <c r="A392" s="17"/>
    </row>
    <row r="393" s="4" customFormat="1" ht="15.75">
      <c r="A393" s="17"/>
    </row>
    <row r="394" s="4" customFormat="1" ht="15.75">
      <c r="A394" s="17"/>
    </row>
    <row r="395" s="4" customFormat="1" ht="15.75">
      <c r="A395" s="17"/>
    </row>
    <row r="396" s="4" customFormat="1" ht="15.75">
      <c r="A396" s="17"/>
    </row>
    <row r="397" s="4" customFormat="1" ht="15.75">
      <c r="A397" s="17"/>
    </row>
    <row r="398" s="4" customFormat="1" ht="15.75">
      <c r="A398" s="17"/>
    </row>
    <row r="399" s="4" customFormat="1" ht="15.75">
      <c r="A399" s="17"/>
    </row>
    <row r="400" s="4" customFormat="1" ht="15.75">
      <c r="A400" s="17"/>
    </row>
    <row r="401" s="4" customFormat="1" ht="15.75">
      <c r="A401" s="17"/>
    </row>
    <row r="402" s="4" customFormat="1" ht="15.75">
      <c r="A402" s="17"/>
    </row>
    <row r="403" s="4" customFormat="1" ht="15.75">
      <c r="A403" s="17"/>
    </row>
    <row r="404" s="4" customFormat="1" ht="15.75">
      <c r="A404" s="17"/>
    </row>
    <row r="405" s="4" customFormat="1" ht="15.75">
      <c r="A405" s="17"/>
    </row>
    <row r="406" s="4" customFormat="1" ht="15.75">
      <c r="A406" s="17"/>
    </row>
    <row r="407" s="4" customFormat="1" ht="15.75">
      <c r="A407" s="17"/>
    </row>
    <row r="408" s="4" customFormat="1" ht="15.75">
      <c r="A408" s="17"/>
    </row>
    <row r="409" s="4" customFormat="1" ht="15.75">
      <c r="A409" s="17"/>
    </row>
    <row r="410" s="4" customFormat="1" ht="15.75">
      <c r="A410" s="17"/>
    </row>
    <row r="411" s="4" customFormat="1" ht="15.75">
      <c r="A411" s="17"/>
    </row>
    <row r="412" s="4" customFormat="1" ht="15.75">
      <c r="A412" s="17"/>
    </row>
    <row r="413" s="4" customFormat="1" ht="15.75">
      <c r="A413" s="17"/>
    </row>
    <row r="414" s="4" customFormat="1" ht="15.75">
      <c r="A414" s="17"/>
    </row>
    <row r="415" s="4" customFormat="1" ht="15.75">
      <c r="A415" s="17"/>
    </row>
    <row r="416" s="4" customFormat="1" ht="15.75">
      <c r="A416" s="17"/>
    </row>
    <row r="417" s="4" customFormat="1" ht="15.75">
      <c r="A417" s="17"/>
    </row>
    <row r="418" s="4" customFormat="1" ht="15.75">
      <c r="A418" s="17"/>
    </row>
    <row r="419" s="4" customFormat="1" ht="15.75">
      <c r="A419" s="17"/>
    </row>
    <row r="420" s="4" customFormat="1" ht="15.75">
      <c r="A420" s="17"/>
    </row>
    <row r="421" s="4" customFormat="1" ht="15.75">
      <c r="A421" s="17"/>
    </row>
    <row r="422" s="4" customFormat="1" ht="15.75">
      <c r="A422" s="17"/>
    </row>
    <row r="423" s="4" customFormat="1" ht="15.75">
      <c r="A423" s="17"/>
    </row>
    <row r="424" s="4" customFormat="1" ht="15.75">
      <c r="A424" s="17"/>
    </row>
    <row r="425" s="4" customFormat="1" ht="15.75">
      <c r="A425" s="17"/>
    </row>
    <row r="426" s="4" customFormat="1" ht="15.75">
      <c r="A426" s="17"/>
    </row>
    <row r="427" s="4" customFormat="1" ht="15.75">
      <c r="A427" s="17"/>
    </row>
    <row r="428" s="4" customFormat="1" ht="15.75">
      <c r="A428" s="17"/>
    </row>
    <row r="429" s="4" customFormat="1" ht="15.75">
      <c r="A429" s="17"/>
    </row>
    <row r="430" s="4" customFormat="1" ht="15.75">
      <c r="A430" s="17"/>
    </row>
    <row r="431" s="4" customFormat="1" ht="15.75">
      <c r="A431" s="17"/>
    </row>
    <row r="432" s="4" customFormat="1" ht="15.75">
      <c r="A432" s="17"/>
    </row>
    <row r="433" s="4" customFormat="1" ht="15.75">
      <c r="A433" s="17"/>
    </row>
    <row r="434" s="4" customFormat="1" ht="15.75">
      <c r="A434" s="17"/>
    </row>
    <row r="435" s="4" customFormat="1" ht="15.75">
      <c r="A435" s="17"/>
    </row>
    <row r="436" s="4" customFormat="1" ht="15.75">
      <c r="A436" s="17"/>
    </row>
    <row r="437" s="4" customFormat="1" ht="15.75">
      <c r="A437" s="17"/>
    </row>
    <row r="438" s="4" customFormat="1" ht="15.75">
      <c r="A438" s="17"/>
    </row>
    <row r="439" s="4" customFormat="1" ht="15.75">
      <c r="A439" s="17"/>
    </row>
    <row r="440" s="4" customFormat="1" ht="15.75">
      <c r="A440" s="17"/>
    </row>
    <row r="441" s="4" customFormat="1" ht="15.75">
      <c r="A441" s="17"/>
    </row>
    <row r="442" s="4" customFormat="1" ht="15.75">
      <c r="A442" s="17"/>
    </row>
    <row r="443" s="4" customFormat="1" ht="15.75">
      <c r="A443" s="17"/>
    </row>
    <row r="444" s="4" customFormat="1" ht="15.75">
      <c r="A444" s="17"/>
    </row>
    <row r="445" s="4" customFormat="1" ht="15.75">
      <c r="A445" s="17"/>
    </row>
    <row r="446" s="4" customFormat="1" ht="15.75">
      <c r="A446" s="17"/>
    </row>
    <row r="447" s="4" customFormat="1" ht="15.75">
      <c r="A447" s="17"/>
    </row>
    <row r="448" s="4" customFormat="1" ht="15.75">
      <c r="A448" s="17"/>
    </row>
    <row r="449" s="4" customFormat="1" ht="15.75">
      <c r="A449" s="17"/>
    </row>
    <row r="450" s="4" customFormat="1" ht="15.75">
      <c r="A450" s="17"/>
    </row>
    <row r="451" s="4" customFormat="1" ht="15.75">
      <c r="A451" s="17"/>
    </row>
    <row r="452" s="4" customFormat="1" ht="15.75">
      <c r="A452" s="17"/>
    </row>
    <row r="453" s="4" customFormat="1" ht="15.75">
      <c r="A453" s="17"/>
    </row>
    <row r="454" s="4" customFormat="1" ht="15.75">
      <c r="A454" s="17"/>
    </row>
    <row r="455" s="4" customFormat="1" ht="15.75">
      <c r="A455" s="17"/>
    </row>
    <row r="456" s="4" customFormat="1" ht="15.75">
      <c r="A456" s="17"/>
    </row>
    <row r="457" s="4" customFormat="1" ht="15.75">
      <c r="A457" s="17"/>
    </row>
    <row r="458" s="4" customFormat="1" ht="15.75">
      <c r="A458" s="17"/>
    </row>
    <row r="459" s="4" customFormat="1" ht="15.75">
      <c r="A459" s="17"/>
    </row>
    <row r="460" s="4" customFormat="1" ht="15.75">
      <c r="A460" s="17"/>
    </row>
    <row r="461" s="4" customFormat="1" ht="15.75">
      <c r="A461" s="17"/>
    </row>
    <row r="462" s="4" customFormat="1" ht="15.75">
      <c r="A462" s="17"/>
    </row>
    <row r="463" s="4" customFormat="1" ht="15.75">
      <c r="A463" s="17"/>
    </row>
    <row r="464" s="4" customFormat="1" ht="15.75">
      <c r="A464" s="17"/>
    </row>
    <row r="465" s="4" customFormat="1" ht="15.75">
      <c r="A465" s="17"/>
    </row>
    <row r="466" s="4" customFormat="1" ht="15.75">
      <c r="A466" s="17"/>
    </row>
    <row r="467" s="4" customFormat="1" ht="15.75">
      <c r="A467" s="17"/>
    </row>
    <row r="468" s="4" customFormat="1" ht="15.75">
      <c r="A468" s="17"/>
    </row>
    <row r="469" s="4" customFormat="1" ht="15.75">
      <c r="A469" s="17"/>
    </row>
    <row r="470" s="4" customFormat="1" ht="15.75">
      <c r="A470" s="17"/>
    </row>
    <row r="471" s="4" customFormat="1" ht="15.75">
      <c r="A471" s="17"/>
    </row>
    <row r="472" s="4" customFormat="1" ht="15.75">
      <c r="A472" s="17"/>
    </row>
    <row r="473" s="4" customFormat="1" ht="15.75">
      <c r="A473" s="17"/>
    </row>
    <row r="474" s="4" customFormat="1" ht="15.75">
      <c r="A474" s="17"/>
    </row>
    <row r="475" s="4" customFormat="1" ht="15.75">
      <c r="A475" s="17"/>
    </row>
    <row r="476" s="4" customFormat="1" ht="15.75">
      <c r="A476" s="17"/>
    </row>
    <row r="477" s="4" customFormat="1" ht="15.75">
      <c r="A477" s="17"/>
    </row>
    <row r="478" s="4" customFormat="1" ht="15.75">
      <c r="A478" s="17"/>
    </row>
    <row r="479" s="4" customFormat="1" ht="15.75">
      <c r="A479" s="17"/>
    </row>
    <row r="480" s="4" customFormat="1" ht="15.75">
      <c r="A480" s="17"/>
    </row>
    <row r="481" s="4" customFormat="1" ht="15.75">
      <c r="A481" s="17"/>
    </row>
    <row r="482" s="4" customFormat="1" ht="15.75">
      <c r="A482" s="17"/>
    </row>
    <row r="483" s="4" customFormat="1" ht="15.75">
      <c r="A483" s="17"/>
    </row>
    <row r="484" s="4" customFormat="1" ht="15.75">
      <c r="A484" s="17"/>
    </row>
    <row r="485" s="4" customFormat="1" ht="15.75">
      <c r="A485" s="17"/>
    </row>
    <row r="486" s="4" customFormat="1" ht="15.75">
      <c r="A486" s="17"/>
    </row>
    <row r="487" s="4" customFormat="1" ht="15.75">
      <c r="A487" s="17"/>
    </row>
    <row r="488" s="4" customFormat="1" ht="15.75">
      <c r="A488" s="17"/>
    </row>
    <row r="489" s="4" customFormat="1" ht="15.75">
      <c r="A489" s="17"/>
    </row>
    <row r="490" s="4" customFormat="1" ht="15.75">
      <c r="A490" s="17"/>
    </row>
    <row r="491" s="4" customFormat="1" ht="15.75">
      <c r="A491" s="17"/>
    </row>
    <row r="492" s="4" customFormat="1" ht="15.75">
      <c r="A492" s="17"/>
    </row>
    <row r="493" s="4" customFormat="1" ht="15.75">
      <c r="A493" s="17"/>
    </row>
    <row r="494" s="4" customFormat="1" ht="15.75">
      <c r="A494" s="17"/>
    </row>
    <row r="495" s="4" customFormat="1" ht="15.75">
      <c r="A495" s="17"/>
    </row>
    <row r="496" s="4" customFormat="1" ht="15.75">
      <c r="A496" s="17"/>
    </row>
    <row r="497" s="4" customFormat="1" ht="15.75">
      <c r="A497" s="17"/>
    </row>
    <row r="498" s="4" customFormat="1" ht="15.75">
      <c r="A498" s="17"/>
    </row>
    <row r="499" s="4" customFormat="1" ht="15.75">
      <c r="A499" s="17"/>
    </row>
    <row r="500" s="4" customFormat="1" ht="15.75">
      <c r="A500" s="17"/>
    </row>
    <row r="501" s="4" customFormat="1" ht="15.75">
      <c r="A501" s="17"/>
    </row>
    <row r="502" s="4" customFormat="1" ht="15.75">
      <c r="A502" s="17"/>
    </row>
    <row r="503" s="4" customFormat="1" ht="15.75">
      <c r="A503" s="17"/>
    </row>
    <row r="504" s="4" customFormat="1" ht="15.75">
      <c r="A504" s="17"/>
    </row>
    <row r="505" s="4" customFormat="1" ht="15.75">
      <c r="A505" s="17"/>
    </row>
    <row r="506" s="4" customFormat="1" ht="15.75">
      <c r="A506" s="17"/>
    </row>
    <row r="507" s="4" customFormat="1" ht="15.75">
      <c r="A507" s="17"/>
    </row>
    <row r="508" s="4" customFormat="1" ht="15.75">
      <c r="A508" s="17"/>
    </row>
    <row r="509" s="4" customFormat="1" ht="15.75">
      <c r="A509" s="17"/>
    </row>
    <row r="510" s="4" customFormat="1" ht="15.75">
      <c r="A510" s="17"/>
    </row>
    <row r="511" s="4" customFormat="1" ht="15.75">
      <c r="A511" s="17"/>
    </row>
    <row r="512" s="4" customFormat="1" ht="15.75">
      <c r="A512" s="17"/>
    </row>
    <row r="513" s="4" customFormat="1" ht="15.75">
      <c r="A513" s="17"/>
    </row>
    <row r="514" s="4" customFormat="1" ht="15.75">
      <c r="A514" s="17"/>
    </row>
    <row r="515" s="4" customFormat="1" ht="15.75">
      <c r="A515" s="17"/>
    </row>
    <row r="516" s="4" customFormat="1" ht="15.75">
      <c r="A516" s="17"/>
    </row>
    <row r="517" s="4" customFormat="1" ht="15.75">
      <c r="A517" s="17"/>
    </row>
    <row r="518" s="4" customFormat="1" ht="15.75">
      <c r="A518" s="17"/>
    </row>
    <row r="519" s="4" customFormat="1" ht="15.75">
      <c r="A519" s="17"/>
    </row>
    <row r="520" s="4" customFormat="1" ht="15.75">
      <c r="A520" s="17"/>
    </row>
    <row r="521" s="4" customFormat="1" ht="15.75">
      <c r="A521" s="17"/>
    </row>
    <row r="522" s="4" customFormat="1" ht="15.75">
      <c r="A522" s="17"/>
    </row>
    <row r="523" s="4" customFormat="1" ht="15.75">
      <c r="A523" s="17"/>
    </row>
    <row r="524" s="4" customFormat="1" ht="15.75">
      <c r="A524" s="17"/>
    </row>
    <row r="525" s="4" customFormat="1" ht="15.75">
      <c r="A525" s="17"/>
    </row>
    <row r="526" s="4" customFormat="1" ht="15.75">
      <c r="A526" s="17"/>
    </row>
    <row r="527" s="4" customFormat="1" ht="15.75">
      <c r="A527" s="17"/>
    </row>
    <row r="528" s="4" customFormat="1" ht="15.75">
      <c r="A528" s="17"/>
    </row>
    <row r="529" s="4" customFormat="1" ht="15.75">
      <c r="A529" s="17"/>
    </row>
    <row r="530" s="4" customFormat="1" ht="15.75">
      <c r="A530" s="17"/>
    </row>
    <row r="531" s="4" customFormat="1" ht="15.75">
      <c r="A531" s="17"/>
    </row>
    <row r="532" s="4" customFormat="1" ht="15.75">
      <c r="A532" s="17"/>
    </row>
    <row r="533" s="4" customFormat="1" ht="15.75">
      <c r="A533" s="17"/>
    </row>
    <row r="534" s="4" customFormat="1" ht="15.75">
      <c r="A534" s="17"/>
    </row>
    <row r="535" s="4" customFormat="1" ht="15.75">
      <c r="A535" s="17"/>
    </row>
    <row r="536" s="4" customFormat="1" ht="15.75">
      <c r="A536" s="17"/>
    </row>
    <row r="537" s="4" customFormat="1" ht="15.75">
      <c r="A537" s="17"/>
    </row>
    <row r="538" s="4" customFormat="1" ht="15.75">
      <c r="A538" s="17"/>
    </row>
    <row r="539" s="4" customFormat="1" ht="15.75">
      <c r="A539" s="17"/>
    </row>
    <row r="540" s="4" customFormat="1" ht="15.75">
      <c r="A540" s="17"/>
    </row>
    <row r="541" s="4" customFormat="1" ht="15.75">
      <c r="A541" s="17"/>
    </row>
    <row r="542" s="4" customFormat="1" ht="15.75">
      <c r="A542" s="17"/>
    </row>
    <row r="543" s="4" customFormat="1" ht="15.75">
      <c r="A543" s="17"/>
    </row>
    <row r="544" s="4" customFormat="1" ht="15.75">
      <c r="A544" s="17"/>
    </row>
    <row r="545" s="4" customFormat="1" ht="15.75">
      <c r="A545" s="17"/>
    </row>
    <row r="546" s="4" customFormat="1" ht="15.75">
      <c r="A546" s="17"/>
    </row>
    <row r="547" s="4" customFormat="1" ht="15.75">
      <c r="A547" s="17"/>
    </row>
    <row r="548" s="4" customFormat="1" ht="15.75">
      <c r="A548" s="17"/>
    </row>
    <row r="549" s="4" customFormat="1" ht="15.75">
      <c r="A549" s="17"/>
    </row>
    <row r="550" s="4" customFormat="1" ht="15.75">
      <c r="A550" s="17"/>
    </row>
    <row r="551" s="4" customFormat="1" ht="15.75">
      <c r="A551" s="17"/>
    </row>
    <row r="552" s="4" customFormat="1" ht="15.75">
      <c r="A552" s="17"/>
    </row>
    <row r="553" s="4" customFormat="1" ht="15.75">
      <c r="A553" s="17"/>
    </row>
    <row r="554" s="4" customFormat="1" ht="15.75">
      <c r="A554" s="17"/>
    </row>
    <row r="555" s="4" customFormat="1" ht="15.75">
      <c r="A555" s="17"/>
    </row>
    <row r="556" s="4" customFormat="1" ht="15.75">
      <c r="A556" s="17"/>
    </row>
    <row r="557" s="4" customFormat="1" ht="15.75">
      <c r="A557" s="17"/>
    </row>
    <row r="558" s="4" customFormat="1" ht="15.75">
      <c r="A558" s="17"/>
    </row>
    <row r="559" s="4" customFormat="1" ht="15.75">
      <c r="A559" s="17"/>
    </row>
    <row r="560" s="4" customFormat="1" ht="15.75">
      <c r="A560" s="17"/>
    </row>
    <row r="561" s="4" customFormat="1" ht="15.75">
      <c r="A561" s="17"/>
    </row>
    <row r="562" s="4" customFormat="1" ht="15.75">
      <c r="A562" s="17"/>
    </row>
    <row r="563" s="4" customFormat="1" ht="15.75">
      <c r="A563" s="17"/>
    </row>
    <row r="564" s="4" customFormat="1" ht="15.75">
      <c r="A564" s="17"/>
    </row>
    <row r="565" s="4" customFormat="1" ht="15.75">
      <c r="A565" s="17"/>
    </row>
    <row r="566" s="4" customFormat="1" ht="15.75">
      <c r="A566" s="17"/>
    </row>
    <row r="567" s="4" customFormat="1" ht="15.75">
      <c r="A567" s="17"/>
    </row>
    <row r="568" s="4" customFormat="1" ht="15.75">
      <c r="A568" s="17"/>
    </row>
    <row r="569" s="4" customFormat="1" ht="15.75">
      <c r="A569" s="17"/>
    </row>
    <row r="570" s="4" customFormat="1" ht="15.75">
      <c r="A570" s="17"/>
    </row>
    <row r="571" s="4" customFormat="1" ht="15.75">
      <c r="A571" s="17"/>
    </row>
    <row r="572" s="4" customFormat="1" ht="15.75">
      <c r="A572" s="17"/>
    </row>
    <row r="573" s="4" customFormat="1" ht="15.75">
      <c r="A573" s="17"/>
    </row>
    <row r="574" s="4" customFormat="1" ht="15.75">
      <c r="A574" s="17"/>
    </row>
    <row r="575" s="4" customFormat="1" ht="15.75">
      <c r="A575" s="17"/>
    </row>
    <row r="576" s="4" customFormat="1" ht="15.75">
      <c r="A576" s="17"/>
    </row>
    <row r="577" s="4" customFormat="1" ht="15.75">
      <c r="A577" s="17"/>
    </row>
    <row r="578" s="4" customFormat="1" ht="15.75">
      <c r="A578" s="17"/>
    </row>
    <row r="579" s="4" customFormat="1" ht="15.75">
      <c r="A579" s="17"/>
    </row>
    <row r="580" s="4" customFormat="1" ht="15.75">
      <c r="A580" s="17"/>
    </row>
    <row r="581" s="4" customFormat="1" ht="15.75">
      <c r="A581" s="17"/>
    </row>
    <row r="582" s="4" customFormat="1" ht="15.75">
      <c r="A582" s="17"/>
    </row>
    <row r="583" s="4" customFormat="1" ht="15.75">
      <c r="A583" s="17"/>
    </row>
    <row r="584" s="4" customFormat="1" ht="15.75">
      <c r="A584" s="17"/>
    </row>
    <row r="585" s="4" customFormat="1" ht="15.75">
      <c r="A585" s="17"/>
    </row>
    <row r="586" s="4" customFormat="1" ht="15.75">
      <c r="A586" s="17"/>
    </row>
    <row r="587" s="4" customFormat="1" ht="15.75">
      <c r="A587" s="17"/>
    </row>
    <row r="588" s="4" customFormat="1" ht="15.75">
      <c r="A588" s="17"/>
    </row>
    <row r="589" s="4" customFormat="1" ht="15.75">
      <c r="A589" s="17"/>
    </row>
    <row r="590" s="4" customFormat="1" ht="15.75">
      <c r="A590" s="17"/>
    </row>
    <row r="591" s="4" customFormat="1" ht="15.75">
      <c r="A591" s="17"/>
    </row>
    <row r="592" s="4" customFormat="1" ht="15.75">
      <c r="A592" s="17"/>
    </row>
    <row r="593" s="4" customFormat="1" ht="15.75">
      <c r="A593" s="17"/>
    </row>
    <row r="594" s="4" customFormat="1" ht="15.75">
      <c r="A594" s="17"/>
    </row>
    <row r="595" s="4" customFormat="1" ht="15.75">
      <c r="A595" s="17"/>
    </row>
    <row r="596" s="4" customFormat="1" ht="15.75">
      <c r="A596" s="17"/>
    </row>
    <row r="597" s="4" customFormat="1" ht="15.75">
      <c r="A597" s="17"/>
    </row>
    <row r="598" s="4" customFormat="1" ht="15.75">
      <c r="A598" s="17"/>
    </row>
    <row r="599" s="4" customFormat="1" ht="15.75">
      <c r="A599" s="17"/>
    </row>
    <row r="600" s="4" customFormat="1" ht="15.75">
      <c r="A600" s="17"/>
    </row>
    <row r="601" s="4" customFormat="1" ht="15.75">
      <c r="A601" s="17"/>
    </row>
    <row r="602" s="4" customFormat="1" ht="15.75">
      <c r="A602" s="17"/>
    </row>
    <row r="603" s="4" customFormat="1" ht="15.75">
      <c r="A603" s="17"/>
    </row>
    <row r="604" s="4" customFormat="1" ht="15.75">
      <c r="A604" s="17"/>
    </row>
    <row r="605" s="4" customFormat="1" ht="15.75">
      <c r="A605" s="17"/>
    </row>
    <row r="606" s="4" customFormat="1" ht="15.75">
      <c r="A606" s="17"/>
    </row>
    <row r="607" s="4" customFormat="1" ht="15.75">
      <c r="A607" s="17"/>
    </row>
    <row r="608" s="4" customFormat="1" ht="15.75">
      <c r="A608" s="17"/>
    </row>
    <row r="609" s="4" customFormat="1" ht="15.75">
      <c r="A609" s="17"/>
    </row>
    <row r="610" s="4" customFormat="1" ht="15.75">
      <c r="A610" s="17"/>
    </row>
    <row r="611" s="4" customFormat="1" ht="15.75">
      <c r="A611" s="17"/>
    </row>
    <row r="612" s="4" customFormat="1" ht="15.75">
      <c r="A612" s="17"/>
    </row>
    <row r="613" s="4" customFormat="1" ht="15.75">
      <c r="A613" s="17"/>
    </row>
    <row r="614" s="4" customFormat="1" ht="15.75">
      <c r="A614" s="17"/>
    </row>
    <row r="615" s="4" customFormat="1" ht="15.75">
      <c r="A615" s="17"/>
    </row>
    <row r="616" s="4" customFormat="1" ht="15.75">
      <c r="A616" s="17"/>
    </row>
    <row r="617" s="4" customFormat="1" ht="15.75">
      <c r="A617" s="17"/>
    </row>
    <row r="618" s="4" customFormat="1" ht="15.75">
      <c r="A618" s="17"/>
    </row>
    <row r="619" s="4" customFormat="1" ht="15.75">
      <c r="A619" s="17"/>
    </row>
    <row r="620" s="4" customFormat="1" ht="15.75">
      <c r="A620" s="17"/>
    </row>
    <row r="621" s="4" customFormat="1" ht="15.75">
      <c r="A621" s="17"/>
    </row>
    <row r="622" s="4" customFormat="1" ht="15.75">
      <c r="A622" s="17"/>
    </row>
    <row r="623" s="4" customFormat="1" ht="15.75">
      <c r="A623" s="17"/>
    </row>
    <row r="624" s="4" customFormat="1" ht="15.75">
      <c r="A624" s="17"/>
    </row>
    <row r="625" s="4" customFormat="1" ht="15.75">
      <c r="A625" s="17"/>
    </row>
    <row r="626" s="4" customFormat="1" ht="15.75">
      <c r="A626" s="17"/>
    </row>
    <row r="627" s="4" customFormat="1" ht="15.75">
      <c r="A627" s="17"/>
    </row>
    <row r="628" s="4" customFormat="1" ht="15.75">
      <c r="A628" s="17"/>
    </row>
    <row r="629" s="4" customFormat="1" ht="15.75">
      <c r="A629" s="17"/>
    </row>
    <row r="630" s="4" customFormat="1" ht="15.75">
      <c r="A630" s="17"/>
    </row>
    <row r="631" s="4" customFormat="1" ht="15.75">
      <c r="A631" s="17"/>
    </row>
    <row r="632" s="4" customFormat="1" ht="15.75">
      <c r="A632" s="17"/>
    </row>
    <row r="633" s="4" customFormat="1" ht="15.75">
      <c r="A633" s="17"/>
    </row>
    <row r="634" s="4" customFormat="1" ht="15.75">
      <c r="A634" s="17"/>
    </row>
    <row r="635" s="4" customFormat="1" ht="15.75">
      <c r="A635" s="17"/>
    </row>
    <row r="636" s="4" customFormat="1" ht="15.75">
      <c r="A636" s="17"/>
    </row>
    <row r="637" s="4" customFormat="1" ht="15.75">
      <c r="A637" s="17"/>
    </row>
    <row r="638" s="4" customFormat="1" ht="15.75">
      <c r="A638" s="17"/>
    </row>
    <row r="639" s="4" customFormat="1" ht="15.75">
      <c r="A639" s="17"/>
    </row>
    <row r="640" s="4" customFormat="1" ht="15.75">
      <c r="A640" s="17"/>
    </row>
    <row r="641" s="4" customFormat="1" ht="15.75">
      <c r="A641" s="17"/>
    </row>
    <row r="642" s="4" customFormat="1" ht="15.75">
      <c r="A642" s="17"/>
    </row>
    <row r="643" s="4" customFormat="1" ht="15.75">
      <c r="A643" s="17"/>
    </row>
    <row r="644" s="4" customFormat="1" ht="15.75">
      <c r="A644" s="17"/>
    </row>
    <row r="645" s="4" customFormat="1" ht="15.75">
      <c r="A645" s="17"/>
    </row>
    <row r="646" s="4" customFormat="1" ht="15.75">
      <c r="A646" s="17"/>
    </row>
    <row r="647" s="4" customFormat="1" ht="15.75">
      <c r="A647" s="17"/>
    </row>
    <row r="648" s="4" customFormat="1" ht="15.75">
      <c r="A648" s="17"/>
    </row>
    <row r="649" s="4" customFormat="1" ht="15.75">
      <c r="A649" s="17"/>
    </row>
    <row r="650" s="4" customFormat="1" ht="15.75">
      <c r="A650" s="17"/>
    </row>
    <row r="651" s="4" customFormat="1" ht="15.75">
      <c r="A651" s="17"/>
    </row>
    <row r="652" s="4" customFormat="1" ht="15.75">
      <c r="A652" s="17"/>
    </row>
    <row r="653" s="4" customFormat="1" ht="15.75">
      <c r="A653" s="17"/>
    </row>
    <row r="654" s="4" customFormat="1" ht="15.75">
      <c r="A654" s="17"/>
    </row>
    <row r="655" s="4" customFormat="1" ht="15.75">
      <c r="A655" s="17"/>
    </row>
    <row r="656" s="4" customFormat="1" ht="15.75">
      <c r="A656" s="17"/>
    </row>
    <row r="657" s="4" customFormat="1" ht="15.75">
      <c r="A657" s="17"/>
    </row>
    <row r="658" s="4" customFormat="1" ht="15.75">
      <c r="A658" s="17"/>
    </row>
    <row r="659" s="4" customFormat="1" ht="15.75">
      <c r="A659" s="17"/>
    </row>
    <row r="660" s="4" customFormat="1" ht="15.75">
      <c r="A660" s="17"/>
    </row>
    <row r="661" s="4" customFormat="1" ht="15.75">
      <c r="A661" s="17"/>
    </row>
    <row r="662" s="4" customFormat="1" ht="15.75">
      <c r="A662" s="17"/>
    </row>
    <row r="663" s="4" customFormat="1" ht="15.75">
      <c r="A663" s="17"/>
    </row>
    <row r="664" s="4" customFormat="1" ht="15.75">
      <c r="A664" s="17"/>
    </row>
    <row r="665" s="4" customFormat="1" ht="15.75">
      <c r="A665" s="17"/>
    </row>
    <row r="666" s="4" customFormat="1" ht="15.75">
      <c r="A666" s="17"/>
    </row>
    <row r="667" s="4" customFormat="1" ht="15.75">
      <c r="A667" s="17"/>
    </row>
    <row r="668" s="4" customFormat="1" ht="15.75">
      <c r="A668" s="17"/>
    </row>
    <row r="669" s="4" customFormat="1" ht="15.75">
      <c r="A669" s="17"/>
    </row>
    <row r="670" s="4" customFormat="1" ht="15.75">
      <c r="A670" s="17"/>
    </row>
    <row r="671" s="4" customFormat="1" ht="15.75">
      <c r="A671" s="17"/>
    </row>
    <row r="672" s="4" customFormat="1" ht="15.75">
      <c r="A672" s="17"/>
    </row>
    <row r="673" s="4" customFormat="1" ht="15.75">
      <c r="A673" s="17"/>
    </row>
    <row r="674" s="4" customFormat="1" ht="15.75">
      <c r="A674" s="17"/>
    </row>
    <row r="675" s="4" customFormat="1" ht="15.75">
      <c r="A675" s="17"/>
    </row>
    <row r="676" s="4" customFormat="1" ht="15.75">
      <c r="A676" s="17"/>
    </row>
    <row r="677" s="4" customFormat="1" ht="15.75">
      <c r="A677" s="17"/>
    </row>
    <row r="678" s="4" customFormat="1" ht="15.75">
      <c r="A678" s="17"/>
    </row>
    <row r="679" s="4" customFormat="1" ht="15.75">
      <c r="A679" s="17"/>
    </row>
    <row r="680" s="4" customFormat="1" ht="15.75">
      <c r="A680" s="17"/>
    </row>
    <row r="681" s="4" customFormat="1" ht="15.75">
      <c r="A681" s="17"/>
    </row>
    <row r="682" s="4" customFormat="1" ht="15.75">
      <c r="A682" s="17"/>
    </row>
    <row r="683" s="4" customFormat="1" ht="15.75">
      <c r="A683" s="17"/>
    </row>
    <row r="684" s="4" customFormat="1" ht="15.75">
      <c r="A684" s="17"/>
    </row>
    <row r="685" s="4" customFormat="1" ht="15.75">
      <c r="A685" s="17"/>
    </row>
    <row r="686" s="4" customFormat="1" ht="15.75">
      <c r="A686" s="17"/>
    </row>
    <row r="687" s="4" customFormat="1" ht="15.75">
      <c r="A687" s="17"/>
    </row>
    <row r="688" s="4" customFormat="1" ht="15.75">
      <c r="A688" s="17"/>
    </row>
    <row r="689" s="4" customFormat="1" ht="15.75">
      <c r="A689" s="17"/>
    </row>
    <row r="690" s="4" customFormat="1" ht="15.75">
      <c r="A690" s="17"/>
    </row>
    <row r="691" s="4" customFormat="1" ht="15.75">
      <c r="A691" s="17"/>
    </row>
    <row r="692" s="4" customFormat="1" ht="15.75">
      <c r="A692" s="17"/>
    </row>
    <row r="693" s="4" customFormat="1" ht="15.75">
      <c r="A693" s="17"/>
    </row>
    <row r="694" s="4" customFormat="1" ht="15.75">
      <c r="A694" s="17"/>
    </row>
    <row r="695" s="4" customFormat="1" ht="15.75">
      <c r="A695" s="17"/>
    </row>
    <row r="696" s="4" customFormat="1" ht="15.75">
      <c r="A696" s="17"/>
    </row>
    <row r="697" s="4" customFormat="1" ht="15.75">
      <c r="A697" s="17"/>
    </row>
    <row r="698" s="4" customFormat="1" ht="15.75">
      <c r="A698" s="17"/>
    </row>
    <row r="699" s="4" customFormat="1" ht="15.75">
      <c r="A699" s="17"/>
    </row>
    <row r="700" s="4" customFormat="1" ht="15.75">
      <c r="A700" s="17"/>
    </row>
    <row r="701" s="4" customFormat="1" ht="15.75">
      <c r="A701" s="17"/>
    </row>
    <row r="702" s="4" customFormat="1" ht="15.75">
      <c r="A702" s="17"/>
    </row>
    <row r="703" s="4" customFormat="1" ht="15.75">
      <c r="A703" s="17"/>
    </row>
    <row r="704" s="4" customFormat="1" ht="15.75">
      <c r="A704" s="17"/>
    </row>
    <row r="705" s="4" customFormat="1" ht="15.75">
      <c r="A705" s="17"/>
    </row>
    <row r="706" s="4" customFormat="1" ht="15.75">
      <c r="A706" s="17"/>
    </row>
    <row r="707" s="4" customFormat="1" ht="15.75">
      <c r="A707" s="17"/>
    </row>
    <row r="708" s="4" customFormat="1" ht="15.75">
      <c r="A708" s="17"/>
    </row>
    <row r="709" s="4" customFormat="1" ht="15.75">
      <c r="A709" s="17"/>
    </row>
    <row r="710" s="4" customFormat="1" ht="15.75">
      <c r="A710" s="17"/>
    </row>
    <row r="711" s="4" customFormat="1" ht="15.75">
      <c r="A711" s="17"/>
    </row>
    <row r="712" s="4" customFormat="1" ht="15.75">
      <c r="A712" s="17"/>
    </row>
    <row r="713" s="4" customFormat="1" ht="15.75">
      <c r="A713" s="17"/>
    </row>
    <row r="714" s="4" customFormat="1" ht="15.75">
      <c r="A714" s="17"/>
    </row>
    <row r="715" s="4" customFormat="1" ht="15.75">
      <c r="A715" s="17"/>
    </row>
    <row r="716" s="4" customFormat="1" ht="15.75">
      <c r="A716" s="17"/>
    </row>
    <row r="717" s="4" customFormat="1" ht="15.75">
      <c r="A717" s="17"/>
    </row>
    <row r="718" s="4" customFormat="1" ht="15.75">
      <c r="A718" s="17"/>
    </row>
    <row r="719" s="4" customFormat="1" ht="15.75">
      <c r="A719" s="17"/>
    </row>
    <row r="720" s="4" customFormat="1" ht="15.75">
      <c r="A720" s="17"/>
    </row>
    <row r="721" s="4" customFormat="1" ht="15.75">
      <c r="A721" s="17"/>
    </row>
    <row r="722" s="4" customFormat="1" ht="15.75">
      <c r="A722" s="17"/>
    </row>
    <row r="723" s="4" customFormat="1" ht="15.75">
      <c r="A723" s="17"/>
    </row>
    <row r="724" s="4" customFormat="1" ht="15.75">
      <c r="A724" s="17"/>
    </row>
    <row r="725" s="4" customFormat="1" ht="15.75">
      <c r="A725" s="17"/>
    </row>
    <row r="726" s="4" customFormat="1" ht="15.75">
      <c r="A726" s="17"/>
    </row>
    <row r="727" s="4" customFormat="1" ht="15.75">
      <c r="A727" s="17"/>
    </row>
    <row r="728" s="4" customFormat="1" ht="15.75">
      <c r="A728" s="17"/>
    </row>
    <row r="729" s="4" customFormat="1" ht="15.75">
      <c r="A729" s="17"/>
    </row>
    <row r="730" s="4" customFormat="1" ht="15.75">
      <c r="A730" s="17"/>
    </row>
    <row r="731" s="4" customFormat="1" ht="15.75">
      <c r="A731" s="17"/>
    </row>
    <row r="732" s="4" customFormat="1" ht="15.75">
      <c r="A732" s="17"/>
    </row>
    <row r="733" s="4" customFormat="1" ht="15.75">
      <c r="A733" s="17"/>
    </row>
    <row r="734" s="4" customFormat="1" ht="15.75">
      <c r="A734" s="17"/>
    </row>
    <row r="735" s="4" customFormat="1" ht="15.75">
      <c r="A735" s="17"/>
    </row>
    <row r="736" s="4" customFormat="1" ht="15.75">
      <c r="A736" s="17"/>
    </row>
    <row r="737" s="4" customFormat="1" ht="15.75">
      <c r="A737" s="17"/>
    </row>
    <row r="738" s="4" customFormat="1" ht="15.75">
      <c r="A738" s="17"/>
    </row>
    <row r="739" s="4" customFormat="1" ht="15.75">
      <c r="A739" s="17"/>
    </row>
    <row r="740" s="4" customFormat="1" ht="15.75">
      <c r="A740" s="17"/>
    </row>
    <row r="741" s="4" customFormat="1" ht="15.75">
      <c r="A741" s="17"/>
    </row>
    <row r="742" s="4" customFormat="1" ht="15.75">
      <c r="A742" s="17"/>
    </row>
    <row r="743" s="4" customFormat="1" ht="15.75">
      <c r="A743" s="17"/>
    </row>
    <row r="744" s="4" customFormat="1" ht="15.75">
      <c r="A744" s="17"/>
    </row>
    <row r="745" s="4" customFormat="1" ht="15.75">
      <c r="A745" s="17"/>
    </row>
    <row r="746" s="4" customFormat="1" ht="15.75">
      <c r="A746" s="17"/>
    </row>
    <row r="747" s="4" customFormat="1" ht="15.75">
      <c r="A747" s="17"/>
    </row>
    <row r="748" s="4" customFormat="1" ht="15.75">
      <c r="A748" s="17"/>
    </row>
    <row r="749" s="4" customFormat="1" ht="15.75">
      <c r="A749" s="17"/>
    </row>
    <row r="750" s="4" customFormat="1" ht="15.75">
      <c r="A750" s="17"/>
    </row>
    <row r="751" s="4" customFormat="1" ht="15.75">
      <c r="A751" s="17"/>
    </row>
    <row r="752" s="4" customFormat="1" ht="15.75">
      <c r="A752" s="17"/>
    </row>
    <row r="753" s="4" customFormat="1" ht="15.75">
      <c r="A753" s="17"/>
    </row>
    <row r="754" s="4" customFormat="1" ht="15.75">
      <c r="A754" s="17"/>
    </row>
    <row r="755" s="4" customFormat="1" ht="15.75">
      <c r="A755" s="17"/>
    </row>
    <row r="756" s="4" customFormat="1" ht="15.75">
      <c r="A756" s="17"/>
    </row>
    <row r="757" s="4" customFormat="1" ht="15.75">
      <c r="A757" s="17"/>
    </row>
    <row r="758" s="4" customFormat="1" ht="15.75">
      <c r="A758" s="17"/>
    </row>
    <row r="759" s="4" customFormat="1" ht="15.75">
      <c r="A759" s="17"/>
    </row>
    <row r="760" s="4" customFormat="1" ht="15.75">
      <c r="A760" s="17"/>
    </row>
    <row r="761" s="4" customFormat="1" ht="15.75">
      <c r="A761" s="17"/>
    </row>
    <row r="762" s="4" customFormat="1" ht="15.75">
      <c r="A762" s="17"/>
    </row>
    <row r="763" s="4" customFormat="1" ht="15.75">
      <c r="A763" s="17"/>
    </row>
    <row r="764" s="4" customFormat="1" ht="15.75">
      <c r="A764" s="17"/>
    </row>
    <row r="765" s="4" customFormat="1" ht="15.75">
      <c r="A765" s="17"/>
    </row>
    <row r="766" s="4" customFormat="1" ht="15.75">
      <c r="A766" s="17"/>
    </row>
    <row r="767" s="4" customFormat="1" ht="15.75">
      <c r="A767" s="17"/>
    </row>
    <row r="768" s="4" customFormat="1" ht="15.75">
      <c r="A768" s="17"/>
    </row>
    <row r="769" s="4" customFormat="1" ht="15.75">
      <c r="A769" s="17"/>
    </row>
    <row r="770" s="4" customFormat="1" ht="15.75">
      <c r="A770" s="17"/>
    </row>
    <row r="771" s="4" customFormat="1" ht="15.75">
      <c r="A771" s="17"/>
    </row>
    <row r="772" s="4" customFormat="1" ht="15.75">
      <c r="A772" s="17"/>
    </row>
    <row r="773" s="4" customFormat="1" ht="15.75">
      <c r="A773" s="17"/>
    </row>
    <row r="774" s="4" customFormat="1" ht="15.75">
      <c r="A774" s="17"/>
    </row>
    <row r="775" s="4" customFormat="1" ht="15.75">
      <c r="A775" s="17"/>
    </row>
    <row r="776" s="4" customFormat="1" ht="15.75">
      <c r="A776" s="17"/>
    </row>
    <row r="777" s="4" customFormat="1" ht="15.75">
      <c r="A777" s="17"/>
    </row>
    <row r="778" s="4" customFormat="1" ht="15.75">
      <c r="A778" s="17"/>
    </row>
    <row r="779" s="4" customFormat="1" ht="15.75">
      <c r="A779" s="17"/>
    </row>
    <row r="780" s="4" customFormat="1" ht="15.75">
      <c r="A780" s="17"/>
    </row>
    <row r="781" s="4" customFormat="1" ht="15.75">
      <c r="A781" s="17"/>
    </row>
    <row r="782" s="4" customFormat="1" ht="15.75">
      <c r="A782" s="17"/>
    </row>
    <row r="783" s="4" customFormat="1" ht="15.75">
      <c r="A783" s="17"/>
    </row>
    <row r="784" s="4" customFormat="1" ht="15.75">
      <c r="A784" s="17"/>
    </row>
    <row r="785" s="4" customFormat="1" ht="15.75">
      <c r="A785" s="17"/>
    </row>
    <row r="786" s="4" customFormat="1" ht="15.75">
      <c r="A786" s="17"/>
    </row>
    <row r="787" s="4" customFormat="1" ht="15.75">
      <c r="A787" s="17"/>
    </row>
    <row r="788" s="4" customFormat="1" ht="15.75">
      <c r="A788" s="17"/>
    </row>
    <row r="789" s="4" customFormat="1" ht="15.75">
      <c r="A789" s="17"/>
    </row>
    <row r="790" s="4" customFormat="1" ht="15.75">
      <c r="A790" s="17"/>
    </row>
    <row r="791" s="4" customFormat="1" ht="15.75">
      <c r="A791" s="17"/>
    </row>
    <row r="792" s="4" customFormat="1" ht="15.75">
      <c r="A792" s="17"/>
    </row>
    <row r="793" s="4" customFormat="1" ht="15.75">
      <c r="A793" s="17"/>
    </row>
    <row r="794" s="4" customFormat="1" ht="15.75">
      <c r="A794" s="17"/>
    </row>
    <row r="795" s="4" customFormat="1" ht="15.75">
      <c r="A795" s="17"/>
    </row>
    <row r="796" s="4" customFormat="1" ht="15.75">
      <c r="A796" s="17"/>
    </row>
    <row r="797" s="4" customFormat="1" ht="15.75">
      <c r="A797" s="17"/>
    </row>
    <row r="798" s="4" customFormat="1" ht="15.75">
      <c r="A798" s="17"/>
    </row>
    <row r="799" s="4" customFormat="1" ht="15.75">
      <c r="A799" s="17"/>
    </row>
    <row r="800" s="4" customFormat="1" ht="15.75">
      <c r="A800" s="17"/>
    </row>
    <row r="801" s="4" customFormat="1" ht="15.75">
      <c r="A801" s="17"/>
    </row>
    <row r="802" s="4" customFormat="1" ht="15.75">
      <c r="A802" s="17"/>
    </row>
    <row r="803" s="4" customFormat="1" ht="15.75">
      <c r="A803" s="17"/>
    </row>
    <row r="804" s="4" customFormat="1" ht="15.75">
      <c r="A804" s="17"/>
    </row>
    <row r="805" s="4" customFormat="1" ht="15.75">
      <c r="A805" s="17"/>
    </row>
    <row r="806" s="4" customFormat="1" ht="15.75">
      <c r="A806" s="17"/>
    </row>
    <row r="807" s="4" customFormat="1" ht="15.75">
      <c r="A807" s="17"/>
    </row>
    <row r="808" s="4" customFormat="1" ht="15.75">
      <c r="A808" s="17"/>
    </row>
    <row r="809" s="4" customFormat="1" ht="15.75">
      <c r="A809" s="17"/>
    </row>
    <row r="810" s="4" customFormat="1" ht="15.75">
      <c r="A810" s="17"/>
    </row>
    <row r="811" s="4" customFormat="1" ht="15.75">
      <c r="A811" s="17"/>
    </row>
    <row r="812" s="4" customFormat="1" ht="15.75">
      <c r="A812" s="17"/>
    </row>
    <row r="813" s="4" customFormat="1" ht="15.75">
      <c r="A813" s="17"/>
    </row>
    <row r="814" s="4" customFormat="1" ht="15.75">
      <c r="A814" s="17"/>
    </row>
    <row r="815" s="4" customFormat="1" ht="15.75">
      <c r="A815" s="17"/>
    </row>
    <row r="816" s="4" customFormat="1" ht="15.75">
      <c r="A816" s="17"/>
    </row>
    <row r="817" s="4" customFormat="1" ht="15.75">
      <c r="A817" s="17"/>
    </row>
    <row r="818" s="4" customFormat="1" ht="15.75">
      <c r="A818" s="17"/>
    </row>
    <row r="819" s="4" customFormat="1" ht="15.75">
      <c r="A819" s="17"/>
    </row>
    <row r="820" s="4" customFormat="1" ht="15.75">
      <c r="A820" s="17"/>
    </row>
    <row r="821" s="4" customFormat="1" ht="15.75">
      <c r="A821" s="17"/>
    </row>
    <row r="822" s="4" customFormat="1" ht="15.75">
      <c r="A822" s="17"/>
    </row>
    <row r="823" s="4" customFormat="1" ht="15.75">
      <c r="A823" s="17"/>
    </row>
    <row r="824" s="4" customFormat="1" ht="15.75">
      <c r="A824" s="17"/>
    </row>
    <row r="825" s="4" customFormat="1" ht="15.75">
      <c r="A825" s="17"/>
    </row>
    <row r="826" s="4" customFormat="1" ht="15.75">
      <c r="A826" s="17"/>
    </row>
    <row r="827" s="4" customFormat="1" ht="15.75">
      <c r="A827" s="17"/>
    </row>
    <row r="828" s="4" customFormat="1" ht="15.75">
      <c r="A828" s="17"/>
    </row>
    <row r="829" s="4" customFormat="1" ht="15.75">
      <c r="A829" s="17"/>
    </row>
    <row r="830" s="4" customFormat="1" ht="15.75">
      <c r="A830" s="17"/>
    </row>
    <row r="831" s="4" customFormat="1" ht="15.75">
      <c r="A831" s="17"/>
    </row>
    <row r="832" s="4" customFormat="1" ht="15.75">
      <c r="A832" s="17"/>
    </row>
    <row r="833" s="4" customFormat="1" ht="15.75">
      <c r="A833" s="17"/>
    </row>
    <row r="834" s="4" customFormat="1" ht="15.75">
      <c r="A834" s="17"/>
    </row>
    <row r="835" s="4" customFormat="1" ht="15.75">
      <c r="A835" s="17"/>
    </row>
    <row r="836" s="4" customFormat="1" ht="15.75">
      <c r="A836" s="17"/>
    </row>
    <row r="837" s="4" customFormat="1" ht="15.75">
      <c r="A837" s="17"/>
    </row>
    <row r="838" s="4" customFormat="1" ht="15.75">
      <c r="A838" s="17"/>
    </row>
    <row r="839" s="4" customFormat="1" ht="15.75">
      <c r="A839" s="17"/>
    </row>
    <row r="840" s="4" customFormat="1" ht="15.75">
      <c r="A840" s="17"/>
    </row>
    <row r="841" s="4" customFormat="1" ht="15.75">
      <c r="A841" s="17"/>
    </row>
    <row r="842" s="4" customFormat="1" ht="15.75">
      <c r="A842" s="17"/>
    </row>
    <row r="843" s="4" customFormat="1" ht="15.75">
      <c r="A843" s="17"/>
    </row>
    <row r="844" s="4" customFormat="1" ht="15.75">
      <c r="A844" s="17"/>
    </row>
    <row r="845" s="4" customFormat="1" ht="15.75">
      <c r="A845" s="17"/>
    </row>
    <row r="846" s="4" customFormat="1" ht="15.75">
      <c r="A846" s="17"/>
    </row>
    <row r="847" s="4" customFormat="1" ht="15.75">
      <c r="A847" s="17"/>
    </row>
    <row r="848" s="4" customFormat="1" ht="15.75">
      <c r="A848" s="17"/>
    </row>
    <row r="849" s="4" customFormat="1" ht="15.75">
      <c r="A849" s="17"/>
    </row>
    <row r="850" s="4" customFormat="1" ht="15.75">
      <c r="A850" s="17"/>
    </row>
    <row r="851" s="4" customFormat="1" ht="15.75">
      <c r="A851" s="17"/>
    </row>
    <row r="852" s="4" customFormat="1" ht="15.75">
      <c r="A852" s="17"/>
    </row>
    <row r="853" s="4" customFormat="1" ht="15.75">
      <c r="A853" s="17"/>
    </row>
    <row r="854" s="4" customFormat="1" ht="15.75">
      <c r="A854" s="17"/>
    </row>
    <row r="855" s="4" customFormat="1" ht="15.75">
      <c r="A855" s="17"/>
    </row>
    <row r="856" s="4" customFormat="1" ht="15.75">
      <c r="A856" s="17"/>
    </row>
    <row r="857" s="4" customFormat="1" ht="15.75">
      <c r="A857" s="17"/>
    </row>
    <row r="858" s="4" customFormat="1" ht="15.75">
      <c r="A858" s="17"/>
    </row>
    <row r="859" s="4" customFormat="1" ht="15.75">
      <c r="A859" s="17"/>
    </row>
    <row r="860" s="4" customFormat="1" ht="15.75">
      <c r="A860" s="17"/>
    </row>
    <row r="861" s="4" customFormat="1" ht="15.75">
      <c r="A861" s="17"/>
    </row>
    <row r="862" s="4" customFormat="1" ht="15.75">
      <c r="A862" s="17"/>
    </row>
    <row r="863" s="4" customFormat="1" ht="15.75">
      <c r="A863" s="17"/>
    </row>
    <row r="864" s="4" customFormat="1" ht="15.75">
      <c r="A864" s="17"/>
    </row>
    <row r="865" s="4" customFormat="1" ht="15.75">
      <c r="A865" s="17"/>
    </row>
    <row r="866" s="4" customFormat="1" ht="15.75">
      <c r="A866" s="17"/>
    </row>
    <row r="867" s="4" customFormat="1" ht="15.75">
      <c r="A867" s="17"/>
    </row>
    <row r="868" s="4" customFormat="1" ht="15.75">
      <c r="A868" s="17"/>
    </row>
    <row r="869" s="4" customFormat="1" ht="15.75">
      <c r="A869" s="17"/>
    </row>
    <row r="870" s="4" customFormat="1" ht="15.75">
      <c r="A870" s="17"/>
    </row>
    <row r="871" s="4" customFormat="1" ht="15.75">
      <c r="A871" s="17"/>
    </row>
    <row r="872" s="4" customFormat="1" ht="15.75">
      <c r="A872" s="17"/>
    </row>
    <row r="873" s="4" customFormat="1" ht="15.75">
      <c r="A873" s="17"/>
    </row>
    <row r="874" s="4" customFormat="1" ht="15.75">
      <c r="A874" s="17"/>
    </row>
    <row r="875" s="4" customFormat="1" ht="15.75">
      <c r="A875" s="17"/>
    </row>
  </sheetData>
  <printOptions/>
  <pageMargins left="0.75" right="0.29" top="0.56" bottom="0.63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kaushik</cp:lastModifiedBy>
  <cp:lastPrinted>2005-08-03T07:59:53Z</cp:lastPrinted>
  <dcterms:created xsi:type="dcterms:W3CDTF">1998-07-24T04:26:25Z</dcterms:created>
  <dcterms:modified xsi:type="dcterms:W3CDTF">2005-08-04T12:48:37Z</dcterms:modified>
  <cp:category/>
  <cp:version/>
  <cp:contentType/>
  <cp:contentStatus/>
</cp:coreProperties>
</file>