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170" windowWidth="7770" windowHeight="4710" tabRatio="823" activeTab="0"/>
  </bookViews>
  <sheets>
    <sheet name="A.T.S" sheetId="1" r:id="rId1"/>
    <sheet name="O.Income" sheetId="2" state="hidden" r:id="rId2"/>
    <sheet name="Variance" sheetId="3" state="hidden" r:id="rId3"/>
    <sheet name="Treasury" sheetId="4" state="hidden" r:id="rId4"/>
    <sheet name="Engg" sheetId="5" state="hidden" r:id="rId5"/>
  </sheets>
  <definedNames>
    <definedName name="_Regression_Int">1</definedName>
    <definedName name="_xlnm.Print_Area" localSheetId="0">'A.T.S'!$A$1:$S$189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<sst xmlns="http://schemas.openxmlformats.org/spreadsheetml/2006/main" count="451" uniqueCount="264">
  <si>
    <t>Reserves excluding Revaluation Reserve</t>
  </si>
  <si>
    <t>Year</t>
  </si>
  <si>
    <t>ended</t>
  </si>
  <si>
    <t>(Audited)</t>
  </si>
  <si>
    <t>Less: Provision for Diminution in the value of</t>
  </si>
  <si>
    <t>Less: Provision for Taxation</t>
  </si>
  <si>
    <t xml:space="preserve">         a)  Increase/Decrease in Stock in Trade</t>
  </si>
  <si>
    <t>(for 3 months period)</t>
  </si>
  <si>
    <t>(for 12 months period)</t>
  </si>
  <si>
    <t>Net Sales / Income from Operations</t>
  </si>
  <si>
    <t xml:space="preserve">         d)  Staff Cost</t>
  </si>
  <si>
    <t>(Face Value of Rs.10 each)</t>
  </si>
  <si>
    <t>Other Income</t>
  </si>
  <si>
    <t xml:space="preserve">         e)  Other Expenditure</t>
  </si>
  <si>
    <t xml:space="preserve">         b)  Consumption of Raw Materials</t>
  </si>
  <si>
    <t xml:space="preserve">         c)  Purchase of Trading Stocks</t>
  </si>
  <si>
    <t xml:space="preserve">         Investments, Doubtful Loans and Advances</t>
  </si>
  <si>
    <t xml:space="preserve">         Current</t>
  </si>
  <si>
    <t xml:space="preserve">         Deferred</t>
  </si>
  <si>
    <t>Paid up Equity Share Capital</t>
  </si>
  <si>
    <t>Basic and diluted Earning per Share</t>
  </si>
  <si>
    <t>of face value of Rs.10 each</t>
  </si>
  <si>
    <t>Aggregate of Non-promoter Shareholding</t>
  </si>
  <si>
    <t xml:space="preserve">                                                No. of Shares</t>
  </si>
  <si>
    <t xml:space="preserve">                                                Percentage</t>
  </si>
  <si>
    <r>
      <t xml:space="preserve">         f)  </t>
    </r>
    <r>
      <rPr>
        <b/>
        <sz val="12"/>
        <rFont val="Times New Roman"/>
        <family val="1"/>
      </rPr>
      <t>Sub Total</t>
    </r>
  </si>
  <si>
    <t xml:space="preserve">Segment Revenue :(net sale / income </t>
  </si>
  <si>
    <t>from each segment)</t>
  </si>
  <si>
    <t>(b) Engineering</t>
  </si>
  <si>
    <r>
      <t>Less:</t>
    </r>
    <r>
      <rPr>
        <sz val="12"/>
        <rFont val="Times New Roman"/>
        <family val="1"/>
      </rPr>
      <t xml:space="preserve"> Inter  Segment Revenue</t>
    </r>
  </si>
  <si>
    <t>Tax and interest from each Segment)</t>
  </si>
  <si>
    <t>Profit before Tax</t>
  </si>
  <si>
    <t xml:space="preserve">Capital Employed (Segment assets Less </t>
  </si>
  <si>
    <t>Segment Liabilities)</t>
  </si>
  <si>
    <t>Contd …</t>
  </si>
  <si>
    <t>Quarterly Reporting of Segmentwise Revenue, Results &amp; Capital Employed under</t>
  </si>
  <si>
    <t>clause 41 of the Listing Agreement</t>
  </si>
  <si>
    <t xml:space="preserve">     Total</t>
  </si>
  <si>
    <t>Deputy Chairman &amp; Managing Director</t>
  </si>
  <si>
    <t>(K.C. Mehra)</t>
  </si>
  <si>
    <r>
      <t>Less:</t>
    </r>
    <r>
      <rPr>
        <sz val="12"/>
        <rFont val="Times New Roman"/>
        <family val="1"/>
      </rPr>
      <t xml:space="preserve">  Interest (Net)</t>
    </r>
  </si>
  <si>
    <t>31.03.02</t>
  </si>
  <si>
    <t>Particulars</t>
  </si>
  <si>
    <t>Total Expenditure</t>
  </si>
  <si>
    <t>Interest (Net)</t>
  </si>
  <si>
    <t>Voluntary Retirement Compensation Amortised</t>
  </si>
  <si>
    <t>Balance (8-9)</t>
  </si>
  <si>
    <t>Net Profit/Loss (12-13)</t>
  </si>
  <si>
    <t>Compliance with the requirements of Clause 41 of the Listing Agreement -</t>
  </si>
  <si>
    <t xml:space="preserve">Provision for Diminution in the value of </t>
  </si>
  <si>
    <t>Investments no longer required written back</t>
  </si>
  <si>
    <t>Total Income (1+2+3)</t>
  </si>
  <si>
    <t>Amount</t>
  </si>
  <si>
    <t>Depreciation</t>
  </si>
  <si>
    <t>Profit/(Loss) before Tax (10-11)</t>
  </si>
  <si>
    <t>Profit / Loss before Depreciation (4-5-6-7)</t>
  </si>
  <si>
    <t>Forbes Gokak Limited</t>
  </si>
  <si>
    <t>30.09.2002</t>
  </si>
  <si>
    <t>(for 6 months period)</t>
  </si>
  <si>
    <t>PBT</t>
  </si>
  <si>
    <t>Half Year</t>
  </si>
  <si>
    <t>F.Y.E.</t>
  </si>
  <si>
    <t>Sales</t>
  </si>
  <si>
    <t>Income from Services</t>
  </si>
  <si>
    <t>Prov.for dim.in Invest.</t>
  </si>
  <si>
    <t>written back</t>
  </si>
  <si>
    <t>Profit on sale of Investment</t>
  </si>
  <si>
    <t xml:space="preserve">   in a subsidiary</t>
  </si>
  <si>
    <t>Dividend</t>
  </si>
  <si>
    <t>Rent Income</t>
  </si>
  <si>
    <t>Misc Income</t>
  </si>
  <si>
    <t>Profit on sale of Assets</t>
  </si>
  <si>
    <t>Recovery of Bad Debts</t>
  </si>
  <si>
    <t>Grand Total  (1+2+3)</t>
  </si>
  <si>
    <t>F.H.Y.E.</t>
  </si>
  <si>
    <t>Breakup of Income for Stock Exchange Advice</t>
  </si>
  <si>
    <t>Actuals</t>
  </si>
  <si>
    <t>Estimated</t>
  </si>
  <si>
    <t>sub-total  1</t>
  </si>
  <si>
    <t>sub-total  2</t>
  </si>
  <si>
    <t>sub-total  3</t>
  </si>
  <si>
    <t>(Rs.in Cr.)</t>
  </si>
  <si>
    <t>Other Income :-</t>
  </si>
  <si>
    <t>30.09.01</t>
  </si>
  <si>
    <t>30.09.02</t>
  </si>
  <si>
    <t>Dividend From</t>
  </si>
  <si>
    <t>E.F.L.</t>
  </si>
  <si>
    <t>F.C.H.L.</t>
  </si>
  <si>
    <t>W.I.L.</t>
  </si>
  <si>
    <t>Other Co's</t>
  </si>
  <si>
    <t>Mutial Funds</t>
  </si>
  <si>
    <t>*</t>
  </si>
  <si>
    <t>**</t>
  </si>
  <si>
    <t>*  Interim Dividend</t>
  </si>
  <si>
    <t>** Final Dividend</t>
  </si>
  <si>
    <t xml:space="preserve">V.F.S.S.L. </t>
  </si>
  <si>
    <t>T</t>
  </si>
  <si>
    <t>E</t>
  </si>
  <si>
    <t>S</t>
  </si>
  <si>
    <t>F</t>
  </si>
  <si>
    <t>TOTAL</t>
  </si>
  <si>
    <t>H.Y.E.- 30.09.02</t>
  </si>
  <si>
    <t>Q.E.- 30.09.02</t>
  </si>
  <si>
    <t>Q..E.- 30.06.02</t>
  </si>
  <si>
    <t>SALES</t>
  </si>
  <si>
    <t>SERVICE INCOME</t>
  </si>
  <si>
    <t>OTHER INCOME</t>
  </si>
  <si>
    <t>DIVIDEND INCOME</t>
  </si>
  <si>
    <t>+/- IN  STOCK</t>
  </si>
  <si>
    <t>R.M.CONSUMPTION</t>
  </si>
  <si>
    <t xml:space="preserve">TRADING </t>
  </si>
  <si>
    <t>STAFF COST</t>
  </si>
  <si>
    <t>OTHER COST</t>
  </si>
  <si>
    <t>INTEREST</t>
  </si>
  <si>
    <t xml:space="preserve">V R S </t>
  </si>
  <si>
    <t>DEPRECIATION</t>
  </si>
  <si>
    <t>DIMINUTION</t>
  </si>
  <si>
    <t>TAX</t>
  </si>
  <si>
    <t>W.TAX</t>
  </si>
  <si>
    <t>I.TAX</t>
  </si>
  <si>
    <t>DEFERRED</t>
  </si>
  <si>
    <t>PAT</t>
  </si>
  <si>
    <t>Variance between 2 Quarters</t>
  </si>
  <si>
    <t>%</t>
  </si>
  <si>
    <t>NOTES</t>
  </si>
  <si>
    <t>1) Dividends received during July 02 to Sept 02</t>
  </si>
  <si>
    <t xml:space="preserve">    Barwill Forbes</t>
  </si>
  <si>
    <t xml:space="preserve">    Tata Income Fund</t>
  </si>
  <si>
    <t xml:space="preserve">    Tata Gilt</t>
  </si>
  <si>
    <t xml:space="preserve">    Tempelton</t>
  </si>
  <si>
    <t xml:space="preserve">    Prudential ICICI</t>
  </si>
  <si>
    <t xml:space="preserve">    DSP Meryil lynch</t>
  </si>
  <si>
    <t>Forbes Gokak Ltd.</t>
  </si>
  <si>
    <t>for the Half year ended 30.9.2002</t>
  </si>
  <si>
    <t xml:space="preserve">            For Forbes Gokak Limited</t>
  </si>
  <si>
    <t xml:space="preserve">NOTES: </t>
  </si>
  <si>
    <t>Quarter</t>
  </si>
  <si>
    <t>30.09.2003</t>
  </si>
  <si>
    <t>31.03.2003</t>
  </si>
  <si>
    <t>(Rs. in Lakhs)</t>
  </si>
  <si>
    <t>30.06.2002</t>
  </si>
  <si>
    <t>(Rs.in Lakhs)</t>
  </si>
  <si>
    <t xml:space="preserve">Balance </t>
  </si>
  <si>
    <t>Impact of Audit qualifications on the</t>
  </si>
  <si>
    <t>Details</t>
  </si>
  <si>
    <t>Rs.Lakhs</t>
  </si>
  <si>
    <t>Rs. Lakhs</t>
  </si>
  <si>
    <t>Previous period's / year's  figures have been regrouped wherever necessary.</t>
  </si>
  <si>
    <t>EXPENSES</t>
  </si>
  <si>
    <t>INCOME</t>
  </si>
  <si>
    <r>
      <t xml:space="preserve">Financial results of </t>
    </r>
    <r>
      <rPr>
        <b/>
        <sz val="12"/>
        <rFont val="Times New Roman"/>
        <family val="1"/>
      </rPr>
      <t>Engineering Division</t>
    </r>
    <r>
      <rPr>
        <sz val="12"/>
        <rFont val="Times New Roman"/>
        <family val="1"/>
      </rPr>
      <t xml:space="preserve"> for the Half Year ended 30th September, 2003. </t>
    </r>
  </si>
  <si>
    <t xml:space="preserve"> </t>
  </si>
  <si>
    <r>
      <t xml:space="preserve">Financial results of </t>
    </r>
    <r>
      <rPr>
        <b/>
        <sz val="12"/>
        <rFont val="Times New Roman"/>
        <family val="1"/>
      </rPr>
      <t>Forbes Treasury</t>
    </r>
    <r>
      <rPr>
        <sz val="12"/>
        <rFont val="Times New Roman"/>
        <family val="1"/>
      </rPr>
      <t xml:space="preserve"> for the Half Year ended 30th September, 2003. </t>
    </r>
  </si>
  <si>
    <t>31.03.03</t>
  </si>
  <si>
    <t xml:space="preserve">Segment Results (Profit before </t>
  </si>
  <si>
    <t xml:space="preserve">         a)  (Increase) / Decrease in Stock in Trade</t>
  </si>
  <si>
    <t xml:space="preserve">     Ltd.(SMCL).</t>
  </si>
  <si>
    <t xml:space="preserve">Previous </t>
  </si>
  <si>
    <t>31.12.2003</t>
  </si>
  <si>
    <t>Nine Months</t>
  </si>
  <si>
    <t>the same have been resolved to the satisfaction of the Shareholders.</t>
  </si>
  <si>
    <t>Note:</t>
  </si>
  <si>
    <t>against the Securities Premium Account.</t>
  </si>
  <si>
    <t xml:space="preserve">         Deferred (see note 3)</t>
  </si>
  <si>
    <t>Profit  before Depreciation (4-5-6-7)</t>
  </si>
  <si>
    <t xml:space="preserve">Rs.1,014.42 Lakhs and for adjustment of diminution in the value of amount of loans and advances due from The Svadeshi Mills </t>
  </si>
  <si>
    <t>In terms of the order  dated 16th December, 2003  received from  High Court of  Mumbai, the  Company  has  utilised the entire</t>
  </si>
  <si>
    <t xml:space="preserve">amount of Securities Premium Account  for adjustment and  write off of  Voluntary Retirement Expenses (VRS)  to the extent of </t>
  </si>
  <si>
    <t>Deferred Tax  includes  Rs.166.16 Lakhs  written  back  on  account of  Voluntary Retirement Scheme  which  has been utilised</t>
  </si>
  <si>
    <t>31.03.2004</t>
  </si>
  <si>
    <t>(Unaudited)</t>
  </si>
  <si>
    <t>(for 9 months   period)</t>
  </si>
  <si>
    <t>(for the year)</t>
  </si>
  <si>
    <t>Figures for</t>
  </si>
  <si>
    <r>
      <t>(</t>
    </r>
    <r>
      <rPr>
        <i/>
        <sz val="12"/>
        <rFont val="Times New Roman"/>
        <family val="1"/>
      </rPr>
      <t>corresponding previous year ended Rs.272.91 Lakhs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.</t>
    </r>
  </si>
  <si>
    <t>There were no pending Shareholders complaints as on 1st January, 2004, other than the 5 pending Court cases, which  remain</t>
  </si>
  <si>
    <t>pending as at 31st March, 2004.  The Company  received 10 complaints during the quarter ended 31st March, 2004 and</t>
  </si>
  <si>
    <t xml:space="preserve">The Company has made by way of an </t>
  </si>
  <si>
    <t xml:space="preserve">abundant caution a further provision of </t>
  </si>
  <si>
    <t xml:space="preserve">amount  standing  to  the  credit  of   </t>
  </si>
  <si>
    <t xml:space="preserve">Profit or Loss                                             </t>
  </si>
  <si>
    <t xml:space="preserve">Impact of the  non-provision  will  depend  </t>
  </si>
  <si>
    <t xml:space="preserve">upon the outcome of  proceedings  being  </t>
  </si>
  <si>
    <t xml:space="preserve">persued by the Company and is </t>
  </si>
  <si>
    <t>indeterminate at the present.</t>
  </si>
  <si>
    <t>(d) Others</t>
  </si>
  <si>
    <t>Voluntary Retirement Compensation Charged /</t>
  </si>
  <si>
    <t xml:space="preserve">Unudited </t>
  </si>
  <si>
    <t xml:space="preserve">Audited </t>
  </si>
  <si>
    <t>the Current</t>
  </si>
  <si>
    <t>the Previous</t>
  </si>
  <si>
    <t>(Unudited)</t>
  </si>
  <si>
    <t>Extra ordinary Expenditure</t>
  </si>
  <si>
    <t>Less/Add: Diminution in the value of Investments,</t>
  </si>
  <si>
    <t xml:space="preserve">                 Doubtful Loans and Advances - provided</t>
  </si>
  <si>
    <t>Share of Income in Associates</t>
  </si>
  <si>
    <t>Minority Interest in net income of subsidiaries</t>
  </si>
  <si>
    <t>Profit after Minority Interest</t>
  </si>
  <si>
    <t>(d) Logistics Services</t>
  </si>
  <si>
    <t>The High Court of Judicature at Mumbai, has pursuant to an order dated 10th June, 2004 sanctioned scheme of amalgamation</t>
  </si>
  <si>
    <t>of Bradma of India Limited and Campbell Knitwear Limited with the Company, which was approved by the Shareholders earlier.</t>
  </si>
  <si>
    <t>Mumbai, 6th July, 2004</t>
  </si>
  <si>
    <t>01.04.03 to 31.03.04</t>
  </si>
  <si>
    <t xml:space="preserve">We set out the unaudited Consolidated financial results for the Year ended 31st March, 2004. </t>
  </si>
  <si>
    <t>01.04.02 to 31.03.03</t>
  </si>
  <si>
    <t>The above results were taken on record by the Board of Directors of the Company at their meeting held on 6th July, 2004.</t>
  </si>
  <si>
    <t>Company Limited to the extent of Rs.2,027.07 Lakhs.  Had the Company continued to amortise the VRS expenses by debit to the</t>
  </si>
  <si>
    <t>Financial Results for the year ended 31st March, 2004</t>
  </si>
  <si>
    <t>Amounts for the quarter ended 31.03.2004 (col.2), includes amounts in respect of Bradma of India Limited and Campbell</t>
  </si>
  <si>
    <t>(c) Business Automation</t>
  </si>
  <si>
    <t>These results include, results of Bradma of India Limited and Campbell Knitwear Limited for the year 01.04.2003 to 31.03.2004.</t>
  </si>
  <si>
    <t>(which did not include results of these companies) are not comparable with these results.</t>
  </si>
  <si>
    <t>For this reason, the unaudited results of the  Company for  the year  ended  31st March, 2004,  published on  20th April, 2004</t>
  </si>
  <si>
    <t xml:space="preserve">Securities Premium Account and </t>
  </si>
  <si>
    <t>Rs.2027.07 Lakhs during the year</t>
  </si>
  <si>
    <t xml:space="preserve">ended 31.03.2004 by  utilising balance  </t>
  </si>
  <si>
    <t>provided balance amount of Rs.121.73 lakhs</t>
  </si>
  <si>
    <t>by debiting to profit and loss Account</t>
  </si>
  <si>
    <t>(a) Textile</t>
  </si>
  <si>
    <t xml:space="preserve">We set out the audited financial results for the Year ended 31st March, 2004. </t>
  </si>
  <si>
    <t>Total Income (1+2)</t>
  </si>
  <si>
    <t>Profit / Loss before Depreciation (3-4-5-6)</t>
  </si>
  <si>
    <t>Balance (7-8)</t>
  </si>
  <si>
    <t>Knitwear Limited for the period 01.04.2003 to 31.03.2004, which have been amalgamated with the Company and are</t>
  </si>
  <si>
    <t>therefore not comparable with those of the quarter ended 31.03.2003.</t>
  </si>
  <si>
    <t xml:space="preserve">In the audit report for  the  year ended  31st March, 2003,  the  auditors  had  referred to  (a)  the  amounts  recoverable  from </t>
  </si>
  <si>
    <t xml:space="preserve">   Amortised / written back (see note 3 )</t>
  </si>
  <si>
    <t xml:space="preserve">     amounts due from The</t>
  </si>
  <si>
    <t xml:space="preserve">a)  Provision in respect of </t>
  </si>
  <si>
    <t xml:space="preserve">     Svadeshi Mills Company</t>
  </si>
  <si>
    <t xml:space="preserve">     respect of sale of </t>
  </si>
  <si>
    <t>b)  Amounts receivable in</t>
  </si>
  <si>
    <t xml:space="preserve">     Chandivali property.</t>
  </si>
  <si>
    <t>Provisions held</t>
  </si>
  <si>
    <t>31.03.04</t>
  </si>
  <si>
    <t>The Svadeshi Mills Company Ltd.(SMCL), and (b) Sale of  property. The Current status and the relevant  explanations  for  the</t>
  </si>
  <si>
    <t>same are set out below:-</t>
  </si>
  <si>
    <t>Interest cost shown in item 6 above is net after deducting interest income Rs.46.23 Lakhs for the quarter ended  31st March,</t>
  </si>
  <si>
    <r>
      <t>2004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corresponding  previous  quarter  Rs.57.94 Lakhs</t>
    </r>
    <r>
      <rPr>
        <sz val="12"/>
        <rFont val="Times New Roman"/>
        <family val="1"/>
      </rPr>
      <t>);  Rs.130.57 Lakhs  for  the  year  ended 31st March, 2004</t>
    </r>
  </si>
  <si>
    <t>Profit and Loss Account, the profit before tax for the year ended 31st March, 2004 would have been  lower by Rs.434.92  Lakhs.</t>
  </si>
  <si>
    <t>Less: Prior Period Items - Gratuity</t>
  </si>
  <si>
    <t>Add : Prior Period Items - Depreciation</t>
  </si>
  <si>
    <t>Balance (10-11+12)</t>
  </si>
  <si>
    <t>Profit  before Tax (13-14)</t>
  </si>
  <si>
    <t>Net Profit (15-16)</t>
  </si>
  <si>
    <t xml:space="preserve">The figures for the current year are prepared based on AS 21 relating to consolidation </t>
  </si>
  <si>
    <t>of accounts read with AS 23 relating to Associate Companies and AS 27 relating to Joint</t>
  </si>
  <si>
    <t xml:space="preserve">Private Limited and Nypro Forbes Moulds Pvt.Limited and are therefore not </t>
  </si>
  <si>
    <t>comparable with those of the previous year.</t>
  </si>
  <si>
    <t xml:space="preserve">The above results were taken on record by the Board of Directors of the Company at </t>
  </si>
  <si>
    <t>their meeting held on 6th July, 2004.</t>
  </si>
  <si>
    <t xml:space="preserve">Ventures.  Current year's figures includes new Joint Ventures namely Forbes Infotainment </t>
  </si>
  <si>
    <t>Notes on Consolidated Financial Results for the year ended 31st March 2004.</t>
  </si>
  <si>
    <t>Add: Prior Period Items - Depreciation</t>
  </si>
  <si>
    <t>Balance (9-10)</t>
  </si>
  <si>
    <t>Balance (11-12+13)</t>
  </si>
  <si>
    <t>Profit/(Loss) before Tax (14-15)</t>
  </si>
  <si>
    <t>Net Profit/Loss (16-17)</t>
  </si>
  <si>
    <r>
      <t>Dividend: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The Board of Directors of the Company has recommended a dividend of 40% (</t>
    </r>
    <r>
      <rPr>
        <i/>
        <sz val="12"/>
        <rFont val="Times New Roman"/>
        <family val="1"/>
      </rPr>
      <t>Previous year 25%</t>
    </r>
    <r>
      <rPr>
        <sz val="12"/>
        <rFont val="Times New Roman"/>
        <family val="1"/>
      </rPr>
      <t xml:space="preserve">) for consideration         </t>
    </r>
  </si>
  <si>
    <t>those shareholders whose name appear on the register of members on 2nd September, 2004.</t>
  </si>
  <si>
    <t>of sharholders at the Annual General Meeting scheduled to be held on 2nd September,2004  Share Transfer Books of the Company</t>
  </si>
  <si>
    <t>will be closed from the 23rd August, 2004 to 2nd September, 2004 for the purposs of the dividend and the dividend will be paid to</t>
  </si>
  <si>
    <t>FORBES GOKAK LIMITED</t>
  </si>
  <si>
    <t xml:space="preserve">                  Registered Office : Forbes Building, Charanjit Rai Marg, Fort, Mumbai 400 001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</si>
</sst>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;[Red]#,##0"/>
    <numFmt numFmtId="176" formatCode="#,##0.000_);\(#,##0.000\)"/>
    <numFmt numFmtId="177" formatCode="#,##0.0_);\(#,##0.0\)"/>
    <numFmt numFmtId="178" formatCode="0.00_);\(0.00\)"/>
    <numFmt numFmtId="179" formatCode="0_);\(0\)"/>
    <numFmt numFmtId="180" formatCode="0.0%"/>
    <numFmt numFmtId="181" formatCode="0.0_);\(0.0\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_);_(* \(#,##0.0\);_(* &quot;-&quot;??_);_(@_)"/>
    <numFmt numFmtId="186" formatCode="_(* #,##0_);_(* \(#,##0\);_(* &quot;-&quot;??_);_(@_)"/>
    <numFmt numFmtId="187" formatCode="mm/dd/yy"/>
    <numFmt numFmtId="188" formatCode="##&quot;,&quot;###.00;\(##&quot;,&quot;###.00\)"/>
    <numFmt numFmtId="189" formatCode="##&quot;,&quot;##&quot;,&quot;##&quot;,&quot;###;\(##&quot;,&quot;##&quot;,&quot;##&quot;,&quot;###\)"/>
    <numFmt numFmtId="190" formatCode="##&quot;,&quot;##&quot;,&quot;###;\(##&quot;,&quot;##&quot;,&quot;###\)"/>
    <numFmt numFmtId="191" formatCode="##&quot;,&quot;###;\(##&quot;,&quot;###\)"/>
    <numFmt numFmtId="192" formatCode="0.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mmmm\ d\,\ yyyy"/>
    <numFmt numFmtId="197" formatCode="0.00000"/>
    <numFmt numFmtId="198" formatCode="##&quot;,&quot;##&quot;,&quot;###.00;\(##&quot;,&quot;##&quot;,&quot;###.00\)"/>
  </numFmts>
  <fonts count="5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8"/>
      <color indexed="56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1"/>
      <name val="Times New Roman"/>
      <family val="1"/>
    </font>
    <font>
      <b/>
      <sz val="10"/>
      <name val="Helv"/>
      <family val="0"/>
    </font>
    <font>
      <b/>
      <u val="single"/>
      <sz val="10"/>
      <name val="Helv"/>
      <family val="0"/>
    </font>
    <font>
      <sz val="12"/>
      <color indexed="10"/>
      <name val="Helv"/>
      <family val="0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 vertical="center"/>
    </xf>
    <xf numFmtId="178" fontId="7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left" vertical="center"/>
    </xf>
    <xf numFmtId="178" fontId="7" fillId="2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178" fontId="16" fillId="0" borderId="0" xfId="0" applyNumberFormat="1" applyFont="1" applyAlignment="1">
      <alignment horizontal="right" vertical="center"/>
    </xf>
    <xf numFmtId="179" fontId="17" fillId="0" borderId="0" xfId="0" applyNumberFormat="1" applyFont="1" applyAlignment="1" quotePrefix="1">
      <alignment horizontal="center" vertical="center"/>
    </xf>
    <xf numFmtId="179" fontId="18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78" fontId="19" fillId="0" borderId="0" xfId="0" applyNumberFormat="1" applyFont="1" applyBorder="1" applyAlignment="1">
      <alignment vertical="center"/>
    </xf>
    <xf numFmtId="178" fontId="22" fillId="0" borderId="0" xfId="0" applyNumberFormat="1" applyFont="1" applyAlignment="1">
      <alignment vertical="center"/>
    </xf>
    <xf numFmtId="178" fontId="25" fillId="0" borderId="0" xfId="0" applyNumberFormat="1" applyFont="1" applyAlignment="1">
      <alignment vertical="center"/>
    </xf>
    <xf numFmtId="178" fontId="2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8" fontId="10" fillId="0" borderId="0" xfId="0" applyNumberFormat="1" applyFont="1" applyBorder="1" applyAlignment="1">
      <alignment vertical="center"/>
    </xf>
    <xf numFmtId="178" fontId="15" fillId="2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178" fontId="8" fillId="2" borderId="0" xfId="0" applyNumberFormat="1" applyFont="1" applyFill="1" applyBorder="1" applyAlignment="1">
      <alignment vertical="center"/>
    </xf>
    <xf numFmtId="10" fontId="7" fillId="0" borderId="0" xfId="21" applyNumberFormat="1" applyFont="1" applyAlignment="1">
      <alignment horizontal="right" vertical="center" wrapText="1" shrinkToFit="1"/>
    </xf>
    <xf numFmtId="10" fontId="6" fillId="0" borderId="0" xfId="21" applyNumberFormat="1" applyFont="1" applyAlignment="1">
      <alignment horizontal="right" vertical="center" wrapText="1" shrinkToFit="1"/>
    </xf>
    <xf numFmtId="0" fontId="5" fillId="0" borderId="0" xfId="0" applyNumberFormat="1" applyFont="1" applyBorder="1" applyAlignment="1">
      <alignment vertical="center"/>
    </xf>
    <xf numFmtId="178" fontId="17" fillId="0" borderId="0" xfId="0" applyNumberFormat="1" applyFont="1" applyAlignment="1">
      <alignment vertical="center"/>
    </xf>
    <xf numFmtId="10" fontId="28" fillId="0" borderId="0" xfId="21" applyNumberFormat="1" applyFont="1" applyAlignment="1">
      <alignment horizontal="right" vertical="center" wrapText="1" shrinkToFit="1"/>
    </xf>
    <xf numFmtId="10" fontId="15" fillId="0" borderId="0" xfId="21" applyNumberFormat="1" applyFont="1" applyAlignment="1">
      <alignment horizontal="right" vertical="center" wrapText="1" shrinkToFit="1"/>
    </xf>
    <xf numFmtId="178" fontId="0" fillId="0" borderId="0" xfId="0" applyNumberFormat="1" applyAlignment="1">
      <alignment/>
    </xf>
    <xf numFmtId="179" fontId="5" fillId="0" borderId="1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79" fontId="29" fillId="0" borderId="2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29" fillId="0" borderId="6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/>
    </xf>
    <xf numFmtId="178" fontId="15" fillId="2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 quotePrefix="1">
      <alignment horizontal="center" vertical="center"/>
    </xf>
    <xf numFmtId="179" fontId="17" fillId="0" borderId="3" xfId="0" applyNumberFormat="1" applyFont="1" applyBorder="1" applyAlignment="1" quotePrefix="1">
      <alignment horizontal="center" vertical="center"/>
    </xf>
    <xf numFmtId="178" fontId="22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86" fontId="11" fillId="0" borderId="0" xfId="15" applyNumberFormat="1" applyFont="1" applyBorder="1" applyAlignment="1">
      <alignment vertical="center"/>
    </xf>
    <xf numFmtId="186" fontId="10" fillId="0" borderId="0" xfId="15" applyNumberFormat="1" applyFont="1" applyBorder="1" applyAlignment="1">
      <alignment vertical="center"/>
    </xf>
    <xf numFmtId="179" fontId="17" fillId="0" borderId="4" xfId="0" applyNumberFormat="1" applyFont="1" applyBorder="1" applyAlignment="1" quotePrefix="1">
      <alignment horizontal="center" vertical="center"/>
    </xf>
    <xf numFmtId="178" fontId="10" fillId="0" borderId="5" xfId="0" applyNumberFormat="1" applyFont="1" applyBorder="1" applyAlignment="1">
      <alignment vertical="center"/>
    </xf>
    <xf numFmtId="178" fontId="11" fillId="0" borderId="5" xfId="0" applyNumberFormat="1" applyFont="1" applyBorder="1" applyAlignment="1">
      <alignment vertical="center"/>
    </xf>
    <xf numFmtId="178" fontId="22" fillId="0" borderId="7" xfId="0" applyNumberFormat="1" applyFont="1" applyBorder="1" applyAlignment="1">
      <alignment vertical="center"/>
    </xf>
    <xf numFmtId="178" fontId="20" fillId="0" borderId="7" xfId="0" applyNumberFormat="1" applyFont="1" applyBorder="1" applyAlignment="1">
      <alignment horizontal="right" vertical="center" wrapText="1" shrinkToFit="1"/>
    </xf>
    <xf numFmtId="178" fontId="23" fillId="0" borderId="7" xfId="0" applyNumberFormat="1" applyFont="1" applyBorder="1" applyAlignment="1">
      <alignment vertical="center"/>
    </xf>
    <xf numFmtId="178" fontId="21" fillId="0" borderId="7" xfId="0" applyNumberFormat="1" applyFont="1" applyBorder="1" applyAlignment="1">
      <alignment horizontal="right" vertical="center" wrapText="1" shrinkToFit="1"/>
    </xf>
    <xf numFmtId="186" fontId="7" fillId="0" borderId="7" xfId="15" applyNumberFormat="1" applyFont="1" applyBorder="1" applyAlignment="1">
      <alignment horizontal="right" vertical="center" wrapText="1" shrinkToFit="1"/>
    </xf>
    <xf numFmtId="10" fontId="7" fillId="0" borderId="8" xfId="21" applyNumberFormat="1" applyFont="1" applyBorder="1" applyAlignment="1">
      <alignment horizontal="right" vertical="center" wrapText="1" shrinkToFit="1"/>
    </xf>
    <xf numFmtId="178" fontId="10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30" fillId="0" borderId="6" xfId="0" applyNumberFormat="1" applyFont="1" applyBorder="1" applyAlignment="1">
      <alignment horizontal="center" vertical="center"/>
    </xf>
    <xf numFmtId="10" fontId="6" fillId="0" borderId="8" xfId="21" applyNumberFormat="1" applyFont="1" applyBorder="1" applyAlignment="1">
      <alignment horizontal="right" vertical="center" wrapText="1" shrinkToFit="1"/>
    </xf>
    <xf numFmtId="178" fontId="6" fillId="0" borderId="5" xfId="0" applyNumberFormat="1" applyFont="1" applyBorder="1" applyAlignment="1">
      <alignment vertical="center"/>
    </xf>
    <xf numFmtId="178" fontId="31" fillId="0" borderId="8" xfId="0" applyNumberFormat="1" applyFont="1" applyBorder="1" applyAlignment="1">
      <alignment horizontal="center" vertical="center"/>
    </xf>
    <xf numFmtId="179" fontId="29" fillId="0" borderId="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left" vertical="center"/>
    </xf>
    <xf numFmtId="178" fontId="18" fillId="0" borderId="0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178" fontId="22" fillId="0" borderId="5" xfId="0" applyNumberFormat="1" applyFont="1" applyBorder="1" applyAlignment="1">
      <alignment vertical="center"/>
    </xf>
    <xf numFmtId="186" fontId="6" fillId="0" borderId="7" xfId="15" applyNumberFormat="1" applyFont="1" applyBorder="1" applyAlignment="1">
      <alignment horizontal="right" vertical="center" wrapText="1" shrinkToFit="1"/>
    </xf>
    <xf numFmtId="179" fontId="31" fillId="0" borderId="6" xfId="0" applyNumberFormat="1" applyFont="1" applyBorder="1" applyAlignment="1">
      <alignment horizontal="center" vertical="center"/>
    </xf>
    <xf numFmtId="43" fontId="0" fillId="0" borderId="0" xfId="15" applyAlignment="1">
      <alignment/>
    </xf>
    <xf numFmtId="0" fontId="35" fillId="0" borderId="0" xfId="0" applyFont="1" applyAlignment="1">
      <alignment/>
    </xf>
    <xf numFmtId="178" fontId="13" fillId="2" borderId="7" xfId="0" applyNumberFormat="1" applyFont="1" applyFill="1" applyBorder="1" applyAlignment="1">
      <alignment horizontal="center" vertical="center"/>
    </xf>
    <xf numFmtId="178" fontId="29" fillId="0" borderId="8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43" fontId="35" fillId="0" borderId="9" xfId="15" applyFont="1" applyBorder="1" applyAlignment="1">
      <alignment/>
    </xf>
    <xf numFmtId="10" fontId="37" fillId="0" borderId="0" xfId="21" applyNumberFormat="1" applyFont="1" applyAlignment="1">
      <alignment horizontal="right" vertical="center" wrapText="1" shrinkToFit="1"/>
    </xf>
    <xf numFmtId="0" fontId="35" fillId="0" borderId="0" xfId="0" applyFont="1" applyAlignment="1">
      <alignment horizontal="center"/>
    </xf>
    <xf numFmtId="39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43" fontId="35" fillId="0" borderId="10" xfId="15" applyFont="1" applyBorder="1" applyAlignment="1">
      <alignment/>
    </xf>
    <xf numFmtId="43" fontId="0" fillId="0" borderId="0" xfId="15" applyFont="1" applyBorder="1" applyAlignment="1">
      <alignment/>
    </xf>
    <xf numFmtId="178" fontId="35" fillId="0" borderId="11" xfId="0" applyNumberFormat="1" applyFont="1" applyBorder="1" applyAlignment="1">
      <alignment/>
    </xf>
    <xf numFmtId="0" fontId="39" fillId="0" borderId="0" xfId="0" applyFont="1" applyAlignment="1">
      <alignment horizontal="right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15" applyNumberFormat="1" applyAlignment="1">
      <alignment/>
    </xf>
    <xf numFmtId="0" fontId="32" fillId="0" borderId="0" xfId="0" applyFont="1" applyAlignment="1">
      <alignment/>
    </xf>
    <xf numFmtId="43" fontId="32" fillId="0" borderId="0" xfId="15" applyNumberFormat="1" applyFont="1" applyAlignment="1">
      <alignment/>
    </xf>
    <xf numFmtId="0" fontId="42" fillId="0" borderId="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2" fillId="0" borderId="3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6" fontId="4" fillId="0" borderId="0" xfId="15" applyNumberFormat="1" applyFont="1" applyBorder="1" applyAlignment="1">
      <alignment/>
    </xf>
    <xf numFmtId="0" fontId="44" fillId="0" borderId="0" xfId="0" applyFont="1" applyAlignment="1">
      <alignment/>
    </xf>
    <xf numFmtId="0" fontId="40" fillId="2" borderId="0" xfId="0" applyFont="1" applyFill="1" applyAlignment="1">
      <alignment/>
    </xf>
    <xf numFmtId="43" fontId="41" fillId="2" borderId="0" xfId="15" applyNumberFormat="1" applyFont="1" applyFill="1" applyAlignment="1">
      <alignment/>
    </xf>
    <xf numFmtId="43" fontId="40" fillId="2" borderId="0" xfId="15" applyNumberFormat="1" applyFont="1" applyFill="1" applyAlignment="1">
      <alignment/>
    </xf>
    <xf numFmtId="0" fontId="0" fillId="0" borderId="14" xfId="0" applyBorder="1" applyAlignment="1">
      <alignment/>
    </xf>
    <xf numFmtId="0" fontId="35" fillId="0" borderId="14" xfId="0" applyFont="1" applyBorder="1" applyAlignment="1">
      <alignment/>
    </xf>
    <xf numFmtId="0" fontId="40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Border="1" applyAlignment="1">
      <alignment/>
    </xf>
    <xf numFmtId="0" fontId="40" fillId="2" borderId="0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3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3" fontId="6" fillId="2" borderId="7" xfId="15" applyFont="1" applyFill="1" applyBorder="1" applyAlignment="1">
      <alignment vertical="center"/>
    </xf>
    <xf numFmtId="43" fontId="5" fillId="0" borderId="0" xfId="15" applyFont="1" applyBorder="1" applyAlignment="1">
      <alignment vertical="center"/>
    </xf>
    <xf numFmtId="43" fontId="7" fillId="2" borderId="7" xfId="15" applyFont="1" applyFill="1" applyBorder="1" applyAlignment="1">
      <alignment vertical="center"/>
    </xf>
    <xf numFmtId="43" fontId="10" fillId="0" borderId="0" xfId="15" applyFont="1" applyBorder="1" applyAlignment="1">
      <alignment vertical="center"/>
    </xf>
    <xf numFmtId="43" fontId="7" fillId="0" borderId="0" xfId="15" applyFont="1" applyBorder="1" applyAlignment="1">
      <alignment vertical="center"/>
    </xf>
    <xf numFmtId="43" fontId="5" fillId="2" borderId="7" xfId="15" applyFont="1" applyFill="1" applyBorder="1" applyAlignment="1">
      <alignment vertical="center"/>
    </xf>
    <xf numFmtId="43" fontId="8" fillId="2" borderId="7" xfId="15" applyFont="1" applyFill="1" applyBorder="1" applyAlignment="1">
      <alignment vertical="center"/>
    </xf>
    <xf numFmtId="43" fontId="8" fillId="0" borderId="0" xfId="15" applyFont="1" applyBorder="1" applyAlignment="1">
      <alignment vertical="center"/>
    </xf>
    <xf numFmtId="43" fontId="5" fillId="2" borderId="21" xfId="15" applyFont="1" applyFill="1" applyBorder="1" applyAlignment="1">
      <alignment vertical="center"/>
    </xf>
    <xf numFmtId="43" fontId="8" fillId="2" borderId="21" xfId="15" applyFont="1" applyFill="1" applyBorder="1" applyAlignment="1">
      <alignment vertical="center"/>
    </xf>
    <xf numFmtId="43" fontId="6" fillId="2" borderId="22" xfId="15" applyFont="1" applyFill="1" applyBorder="1" applyAlignment="1">
      <alignment vertical="center"/>
    </xf>
    <xf numFmtId="43" fontId="7" fillId="2" borderId="22" xfId="15" applyFont="1" applyFill="1" applyBorder="1" applyAlignment="1">
      <alignment vertical="center"/>
    </xf>
    <xf numFmtId="43" fontId="10" fillId="0" borderId="7" xfId="15" applyFont="1" applyBorder="1" applyAlignment="1">
      <alignment vertical="center"/>
    </xf>
    <xf numFmtId="43" fontId="9" fillId="0" borderId="7" xfId="15" applyFont="1" applyBorder="1" applyAlignment="1">
      <alignment vertical="center"/>
    </xf>
    <xf numFmtId="43" fontId="6" fillId="0" borderId="0" xfId="15" applyFont="1" applyBorder="1" applyAlignment="1">
      <alignment vertical="center"/>
    </xf>
    <xf numFmtId="43" fontId="11" fillId="0" borderId="0" xfId="15" applyFont="1" applyBorder="1" applyAlignment="1">
      <alignment vertical="center"/>
    </xf>
    <xf numFmtId="43" fontId="8" fillId="0" borderId="21" xfId="15" applyFont="1" applyFill="1" applyBorder="1" applyAlignment="1">
      <alignment vertical="center"/>
    </xf>
    <xf numFmtId="43" fontId="6" fillId="2" borderId="23" xfId="15" applyFont="1" applyFill="1" applyBorder="1" applyAlignment="1">
      <alignment vertical="center"/>
    </xf>
    <xf numFmtId="43" fontId="7" fillId="2" borderId="23" xfId="15" applyFont="1" applyFill="1" applyBorder="1" applyAlignment="1">
      <alignment vertical="center"/>
    </xf>
    <xf numFmtId="43" fontId="6" fillId="0" borderId="7" xfId="15" applyFont="1" applyBorder="1" applyAlignment="1">
      <alignment vertical="center"/>
    </xf>
    <xf numFmtId="43" fontId="7" fillId="0" borderId="7" xfId="15" applyFont="1" applyBorder="1" applyAlignment="1">
      <alignment vertical="center"/>
    </xf>
    <xf numFmtId="43" fontId="5" fillId="0" borderId="7" xfId="15" applyFont="1" applyBorder="1" applyAlignment="1">
      <alignment vertical="center"/>
    </xf>
    <xf numFmtId="43" fontId="8" fillId="0" borderId="7" xfId="15" applyFont="1" applyBorder="1" applyAlignment="1">
      <alignment vertical="center"/>
    </xf>
    <xf numFmtId="43" fontId="7" fillId="0" borderId="7" xfId="15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178" fontId="8" fillId="0" borderId="12" xfId="0" applyNumberFormat="1" applyFont="1" applyFill="1" applyBorder="1" applyAlignment="1">
      <alignment vertical="center"/>
    </xf>
    <xf numFmtId="43" fontId="8" fillId="0" borderId="13" xfId="15" applyFont="1" applyBorder="1" applyAlignment="1">
      <alignment vertical="center"/>
    </xf>
    <xf numFmtId="43" fontId="8" fillId="0" borderId="26" xfId="15" applyFont="1" applyBorder="1" applyAlignment="1">
      <alignment vertical="center"/>
    </xf>
    <xf numFmtId="43" fontId="7" fillId="0" borderId="27" xfId="15" applyFont="1" applyBorder="1" applyAlignment="1">
      <alignment vertical="center"/>
    </xf>
    <xf numFmtId="43" fontId="8" fillId="0" borderId="13" xfId="15" applyFont="1" applyFill="1" applyBorder="1" applyAlignment="1">
      <alignment vertical="center"/>
    </xf>
    <xf numFmtId="43" fontId="7" fillId="0" borderId="28" xfId="15" applyFont="1" applyBorder="1" applyAlignment="1">
      <alignment vertical="center"/>
    </xf>
    <xf numFmtId="43" fontId="5" fillId="0" borderId="24" xfId="15" applyFont="1" applyBorder="1" applyAlignment="1">
      <alignment vertical="center"/>
    </xf>
    <xf numFmtId="43" fontId="5" fillId="0" borderId="19" xfId="15" applyFont="1" applyBorder="1" applyAlignment="1">
      <alignment vertical="center"/>
    </xf>
    <xf numFmtId="43" fontId="6" fillId="0" borderId="24" xfId="15" applyFont="1" applyBorder="1" applyAlignment="1">
      <alignment vertical="center"/>
    </xf>
    <xf numFmtId="43" fontId="6" fillId="0" borderId="11" xfId="15" applyFont="1" applyBorder="1" applyAlignment="1">
      <alignment vertical="center"/>
    </xf>
    <xf numFmtId="43" fontId="8" fillId="0" borderId="24" xfId="15" applyFont="1" applyFill="1" applyBorder="1" applyAlignment="1">
      <alignment vertical="center"/>
    </xf>
    <xf numFmtId="43" fontId="8" fillId="0" borderId="19" xfId="15" applyFont="1" applyBorder="1" applyAlignment="1">
      <alignment vertical="center"/>
    </xf>
    <xf numFmtId="43" fontId="7" fillId="0" borderId="11" xfId="15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43" fontId="4" fillId="0" borderId="3" xfId="15" applyFont="1" applyBorder="1" applyAlignment="1">
      <alignment/>
    </xf>
    <xf numFmtId="43" fontId="4" fillId="0" borderId="0" xfId="15" applyFont="1" applyBorder="1" applyAlignment="1">
      <alignment/>
    </xf>
    <xf numFmtId="43" fontId="4" fillId="0" borderId="13" xfId="15" applyFont="1" applyBorder="1" applyAlignment="1">
      <alignment/>
    </xf>
    <xf numFmtId="43" fontId="1" fillId="0" borderId="29" xfId="15" applyFont="1" applyBorder="1" applyAlignment="1">
      <alignment/>
    </xf>
    <xf numFmtId="43" fontId="4" fillId="0" borderId="30" xfId="15" applyFont="1" applyBorder="1" applyAlignment="1">
      <alignment/>
    </xf>
    <xf numFmtId="43" fontId="4" fillId="0" borderId="29" xfId="15" applyFont="1" applyBorder="1" applyAlignment="1">
      <alignment/>
    </xf>
    <xf numFmtId="179" fontId="5" fillId="0" borderId="0" xfId="0" applyNumberFormat="1" applyFont="1" applyAlignment="1" quotePrefix="1">
      <alignment horizontal="right"/>
    </xf>
    <xf numFmtId="179" fontId="6" fillId="0" borderId="0" xfId="0" applyNumberFormat="1" applyFont="1" applyAlignment="1">
      <alignment horizontal="right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79" fontId="6" fillId="0" borderId="0" xfId="0" applyNumberFormat="1" applyFont="1" applyAlignment="1" quotePrefix="1">
      <alignment horizontal="right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43" fontId="17" fillId="0" borderId="0" xfId="15" applyFont="1" applyAlignment="1">
      <alignment vertical="center"/>
    </xf>
    <xf numFmtId="43" fontId="5" fillId="0" borderId="0" xfId="15" applyFont="1" applyAlignment="1">
      <alignment horizontal="center" vertical="center"/>
    </xf>
    <xf numFmtId="43" fontId="5" fillId="0" borderId="0" xfId="15" applyFont="1" applyAlignment="1">
      <alignment vertical="center"/>
    </xf>
    <xf numFmtId="43" fontId="10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78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43" fontId="46" fillId="2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4" fillId="0" borderId="11" xfId="15" applyNumberFormat="1" applyFont="1" applyBorder="1" applyAlignment="1">
      <alignment/>
    </xf>
    <xf numFmtId="9" fontId="4" fillId="0" borderId="0" xfId="21" applyFont="1" applyBorder="1" applyAlignment="1">
      <alignment/>
    </xf>
    <xf numFmtId="43" fontId="47" fillId="2" borderId="0" xfId="15" applyNumberFormat="1" applyFont="1" applyFill="1" applyBorder="1" applyAlignment="1">
      <alignment/>
    </xf>
    <xf numFmtId="43" fontId="4" fillId="0" borderId="19" xfId="15" applyNumberFormat="1" applyFont="1" applyBorder="1" applyAlignment="1">
      <alignment/>
    </xf>
    <xf numFmtId="43" fontId="46" fillId="2" borderId="19" xfId="15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3" fontId="4" fillId="0" borderId="0" xfId="15" applyNumberFormat="1" applyFont="1" applyAlignment="1">
      <alignment/>
    </xf>
    <xf numFmtId="43" fontId="46" fillId="2" borderId="0" xfId="15" applyNumberFormat="1" applyFont="1" applyFill="1" applyAlignment="1">
      <alignment/>
    </xf>
    <xf numFmtId="0" fontId="45" fillId="0" borderId="17" xfId="0" applyFont="1" applyBorder="1" applyAlignment="1">
      <alignment/>
    </xf>
    <xf numFmtId="189" fontId="4" fillId="0" borderId="3" xfId="15" applyNumberFormat="1" applyFont="1" applyBorder="1" applyAlignment="1">
      <alignment/>
    </xf>
    <xf numFmtId="189" fontId="4" fillId="0" borderId="0" xfId="15" applyNumberFormat="1" applyFont="1" applyBorder="1" applyAlignment="1">
      <alignment/>
    </xf>
    <xf numFmtId="189" fontId="4" fillId="0" borderId="13" xfId="15" applyNumberFormat="1" applyFont="1" applyBorder="1" applyAlignment="1">
      <alignment/>
    </xf>
    <xf numFmtId="189" fontId="4" fillId="0" borderId="30" xfId="15" applyNumberFormat="1" applyFont="1" applyBorder="1" applyAlignment="1">
      <alignment/>
    </xf>
    <xf numFmtId="189" fontId="4" fillId="0" borderId="31" xfId="15" applyNumberFormat="1" applyFont="1" applyBorder="1" applyAlignment="1">
      <alignment/>
    </xf>
    <xf numFmtId="189" fontId="1" fillId="0" borderId="32" xfId="15" applyNumberFormat="1" applyFont="1" applyBorder="1" applyAlignment="1">
      <alignment/>
    </xf>
    <xf numFmtId="189" fontId="1" fillId="0" borderId="11" xfId="15" applyNumberFormat="1" applyFont="1" applyBorder="1" applyAlignment="1">
      <alignment/>
    </xf>
    <xf numFmtId="189" fontId="1" fillId="0" borderId="33" xfId="15" applyNumberFormat="1" applyFont="1" applyBorder="1" applyAlignment="1">
      <alignment/>
    </xf>
    <xf numFmtId="0" fontId="43" fillId="0" borderId="34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2" xfId="0" applyFont="1" applyBorder="1" applyAlignment="1" quotePrefix="1">
      <alignment horizontal="center"/>
    </xf>
    <xf numFmtId="0" fontId="41" fillId="0" borderId="3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3" xfId="0" applyFont="1" applyBorder="1" applyAlignment="1">
      <alignment/>
    </xf>
    <xf numFmtId="186" fontId="46" fillId="0" borderId="3" xfId="15" applyNumberFormat="1" applyFont="1" applyBorder="1" applyAlignment="1">
      <alignment/>
    </xf>
    <xf numFmtId="186" fontId="46" fillId="0" borderId="0" xfId="15" applyNumberFormat="1" applyFont="1" applyBorder="1" applyAlignment="1">
      <alignment/>
    </xf>
    <xf numFmtId="186" fontId="46" fillId="0" borderId="16" xfId="15" applyNumberFormat="1" applyFont="1" applyBorder="1" applyAlignment="1">
      <alignment/>
    </xf>
    <xf numFmtId="186" fontId="46" fillId="0" borderId="0" xfId="0" applyNumberFormat="1" applyFont="1" applyBorder="1" applyAlignment="1">
      <alignment/>
    </xf>
    <xf numFmtId="43" fontId="46" fillId="0" borderId="13" xfId="21" applyNumberFormat="1" applyFont="1" applyBorder="1" applyAlignment="1">
      <alignment/>
    </xf>
    <xf numFmtId="186" fontId="46" fillId="0" borderId="30" xfId="15" applyNumberFormat="1" applyFont="1" applyBorder="1" applyAlignment="1">
      <alignment/>
    </xf>
    <xf numFmtId="186" fontId="46" fillId="0" borderId="29" xfId="15" applyNumberFormat="1" applyFont="1" applyBorder="1" applyAlignment="1">
      <alignment/>
    </xf>
    <xf numFmtId="186" fontId="46" fillId="0" borderId="37" xfId="15" applyNumberFormat="1" applyFont="1" applyBorder="1" applyAlignment="1">
      <alignment/>
    </xf>
    <xf numFmtId="43" fontId="46" fillId="0" borderId="33" xfId="21" applyNumberFormat="1" applyFont="1" applyBorder="1" applyAlignment="1">
      <alignment/>
    </xf>
    <xf numFmtId="186" fontId="46" fillId="0" borderId="35" xfId="15" applyNumberFormat="1" applyFont="1" applyBorder="1" applyAlignment="1">
      <alignment/>
    </xf>
    <xf numFmtId="186" fontId="46" fillId="0" borderId="32" xfId="15" applyNumberFormat="1" applyFont="1" applyBorder="1" applyAlignment="1">
      <alignment/>
    </xf>
    <xf numFmtId="186" fontId="46" fillId="0" borderId="11" xfId="15" applyNumberFormat="1" applyFont="1" applyBorder="1" applyAlignment="1">
      <alignment/>
    </xf>
    <xf numFmtId="43" fontId="46" fillId="0" borderId="31" xfId="21" applyNumberFormat="1" applyFont="1" applyBorder="1" applyAlignment="1">
      <alignment/>
    </xf>
    <xf numFmtId="43" fontId="46" fillId="0" borderId="0" xfId="21" applyNumberFormat="1" applyFont="1" applyBorder="1" applyAlignment="1">
      <alignment/>
    </xf>
    <xf numFmtId="186" fontId="47" fillId="0" borderId="32" xfId="15" applyNumberFormat="1" applyFont="1" applyBorder="1" applyAlignment="1">
      <alignment/>
    </xf>
    <xf numFmtId="186" fontId="47" fillId="0" borderId="11" xfId="15" applyNumberFormat="1" applyFont="1" applyBorder="1" applyAlignment="1">
      <alignment/>
    </xf>
    <xf numFmtId="186" fontId="47" fillId="0" borderId="37" xfId="15" applyNumberFormat="1" applyFont="1" applyBorder="1" applyAlignment="1">
      <alignment/>
    </xf>
    <xf numFmtId="43" fontId="4" fillId="0" borderId="31" xfId="15" applyFont="1" applyBorder="1" applyAlignment="1">
      <alignment/>
    </xf>
    <xf numFmtId="190" fontId="4" fillId="0" borderId="3" xfId="15" applyNumberFormat="1" applyFont="1" applyBorder="1" applyAlignment="1">
      <alignment/>
    </xf>
    <xf numFmtId="191" fontId="4" fillId="0" borderId="0" xfId="15" applyNumberFormat="1" applyFont="1" applyBorder="1" applyAlignment="1">
      <alignment/>
    </xf>
    <xf numFmtId="190" fontId="4" fillId="0" borderId="0" xfId="15" applyNumberFormat="1" applyFont="1" applyBorder="1" applyAlignment="1">
      <alignment/>
    </xf>
    <xf numFmtId="190" fontId="4" fillId="0" borderId="29" xfId="15" applyNumberFormat="1" applyFont="1" applyBorder="1" applyAlignment="1">
      <alignment/>
    </xf>
    <xf numFmtId="190" fontId="4" fillId="0" borderId="13" xfId="15" applyNumberFormat="1" applyFont="1" applyBorder="1" applyAlignment="1">
      <alignment/>
    </xf>
    <xf numFmtId="191" fontId="4" fillId="0" borderId="3" xfId="15" applyNumberFormat="1" applyFont="1" applyBorder="1" applyAlignment="1">
      <alignment/>
    </xf>
    <xf numFmtId="190" fontId="4" fillId="0" borderId="31" xfId="15" applyNumberFormat="1" applyFont="1" applyBorder="1" applyAlignment="1">
      <alignment/>
    </xf>
    <xf numFmtId="190" fontId="4" fillId="0" borderId="30" xfId="15" applyNumberFormat="1" applyFont="1" applyBorder="1" applyAlignment="1">
      <alignment/>
    </xf>
    <xf numFmtId="190" fontId="1" fillId="0" borderId="33" xfId="15" applyNumberFormat="1" applyFont="1" applyBorder="1" applyAlignment="1">
      <alignment/>
    </xf>
    <xf numFmtId="190" fontId="1" fillId="0" borderId="11" xfId="15" applyNumberFormat="1" applyFont="1" applyBorder="1" applyAlignment="1">
      <alignment/>
    </xf>
    <xf numFmtId="190" fontId="1" fillId="0" borderId="32" xfId="15" applyNumberFormat="1" applyFont="1" applyBorder="1" applyAlignment="1">
      <alignment/>
    </xf>
    <xf numFmtId="189" fontId="1" fillId="0" borderId="30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29" xfId="15" applyNumberFormat="1" applyFont="1" applyBorder="1" applyAlignment="1">
      <alignment/>
    </xf>
    <xf numFmtId="190" fontId="1" fillId="0" borderId="29" xfId="15" applyNumberFormat="1" applyFont="1" applyBorder="1" applyAlignment="1">
      <alignment/>
    </xf>
    <xf numFmtId="189" fontId="1" fillId="0" borderId="31" xfId="15" applyNumberFormat="1" applyFont="1" applyBorder="1" applyAlignment="1">
      <alignment/>
    </xf>
    <xf numFmtId="190" fontId="1" fillId="0" borderId="30" xfId="15" applyNumberFormat="1" applyFont="1" applyBorder="1" applyAlignment="1">
      <alignment/>
    </xf>
    <xf numFmtId="0" fontId="4" fillId="0" borderId="17" xfId="0" applyFont="1" applyBorder="1" applyAlignment="1" quotePrefix="1">
      <alignment/>
    </xf>
    <xf numFmtId="190" fontId="1" fillId="0" borderId="0" xfId="15" applyNumberFormat="1" applyFont="1" applyBorder="1" applyAlignment="1">
      <alignment/>
    </xf>
    <xf numFmtId="190" fontId="1" fillId="0" borderId="31" xfId="15" applyNumberFormat="1" applyFont="1" applyBorder="1" applyAlignment="1">
      <alignment/>
    </xf>
    <xf numFmtId="43" fontId="1" fillId="0" borderId="30" xfId="15" applyFont="1" applyBorder="1" applyAlignment="1">
      <alignment/>
    </xf>
    <xf numFmtId="0" fontId="42" fillId="0" borderId="14" xfId="0" applyFont="1" applyBorder="1" applyAlignment="1">
      <alignment/>
    </xf>
    <xf numFmtId="0" fontId="32" fillId="0" borderId="14" xfId="0" applyFont="1" applyBorder="1" applyAlignment="1">
      <alignment/>
    </xf>
    <xf numFmtId="178" fontId="20" fillId="0" borderId="8" xfId="0" applyNumberFormat="1" applyFont="1" applyBorder="1" applyAlignment="1">
      <alignment horizontal="right" vertical="center" wrapText="1" shrinkToFit="1"/>
    </xf>
    <xf numFmtId="178" fontId="21" fillId="0" borderId="8" xfId="0" applyNumberFormat="1" applyFont="1" applyBorder="1" applyAlignment="1">
      <alignment horizontal="right" vertical="center" wrapText="1" shrinkToFit="1"/>
    </xf>
    <xf numFmtId="43" fontId="6" fillId="0" borderId="7" xfId="15" applyFont="1" applyBorder="1" applyAlignment="1">
      <alignment horizontal="right" vertical="center"/>
    </xf>
    <xf numFmtId="190" fontId="7" fillId="0" borderId="7" xfId="15" applyNumberFormat="1" applyFont="1" applyBorder="1" applyAlignment="1">
      <alignment horizontal="right" vertical="center" wrapText="1" shrinkToFit="1"/>
    </xf>
    <xf numFmtId="190" fontId="6" fillId="0" borderId="7" xfId="15" applyNumberFormat="1" applyFont="1" applyBorder="1" applyAlignment="1">
      <alignment horizontal="right" vertical="center" wrapText="1" shrinkToFit="1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178" fontId="7" fillId="0" borderId="0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178" fontId="10" fillId="0" borderId="7" xfId="0" applyNumberFormat="1" applyFont="1" applyBorder="1" applyAlignment="1">
      <alignment vertical="center"/>
    </xf>
    <xf numFmtId="179" fontId="29" fillId="0" borderId="7" xfId="0" applyNumberFormat="1" applyFont="1" applyBorder="1" applyAlignment="1">
      <alignment horizontal="center" vertical="center"/>
    </xf>
    <xf numFmtId="179" fontId="31" fillId="0" borderId="7" xfId="0" applyNumberFormat="1" applyFont="1" applyBorder="1" applyAlignment="1">
      <alignment horizontal="center" vertical="center"/>
    </xf>
    <xf numFmtId="43" fontId="5" fillId="0" borderId="21" xfId="15" applyFont="1" applyFill="1" applyBorder="1" applyAlignment="1">
      <alignment vertical="center"/>
    </xf>
    <xf numFmtId="178" fontId="48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vertical="center"/>
    </xf>
    <xf numFmtId="178" fontId="21" fillId="0" borderId="7" xfId="0" applyNumberFormat="1" applyFont="1" applyBorder="1" applyAlignment="1">
      <alignment horizontal="right" vertical="top" wrapText="1" shrinkToFit="1"/>
    </xf>
    <xf numFmtId="178" fontId="20" fillId="0" borderId="7" xfId="0" applyNumberFormat="1" applyFont="1" applyBorder="1" applyAlignment="1">
      <alignment horizontal="right" vertical="top" wrapText="1" shrinkToFit="1"/>
    </xf>
    <xf numFmtId="43" fontId="5" fillId="0" borderId="38" xfId="15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78" fontId="14" fillId="0" borderId="2" xfId="0" applyNumberFormat="1" applyFont="1" applyBorder="1" applyAlignment="1">
      <alignment vertical="center"/>
    </xf>
    <xf numFmtId="178" fontId="49" fillId="0" borderId="0" xfId="0" applyNumberFormat="1" applyFont="1" applyBorder="1" applyAlignment="1">
      <alignment vertical="center"/>
    </xf>
    <xf numFmtId="178" fontId="30" fillId="0" borderId="7" xfId="0" applyNumberFormat="1" applyFont="1" applyBorder="1" applyAlignment="1">
      <alignment horizontal="center" vertical="center"/>
    </xf>
    <xf numFmtId="178" fontId="48" fillId="0" borderId="7" xfId="0" applyNumberFormat="1" applyFont="1" applyBorder="1" applyAlignment="1">
      <alignment horizontal="center" vertical="center"/>
    </xf>
    <xf numFmtId="178" fontId="14" fillId="0" borderId="5" xfId="0" applyNumberFormat="1" applyFont="1" applyBorder="1" applyAlignment="1">
      <alignment vertical="center"/>
    </xf>
    <xf numFmtId="178" fontId="13" fillId="0" borderId="5" xfId="0" applyNumberFormat="1" applyFont="1" applyBorder="1" applyAlignment="1">
      <alignment vertical="center"/>
    </xf>
    <xf numFmtId="43" fontId="6" fillId="2" borderId="21" xfId="15" applyFont="1" applyFill="1" applyBorder="1" applyAlignment="1">
      <alignment vertical="center"/>
    </xf>
    <xf numFmtId="43" fontId="7" fillId="2" borderId="21" xfId="15" applyFont="1" applyFill="1" applyBorder="1" applyAlignment="1">
      <alignment vertical="center"/>
    </xf>
    <xf numFmtId="43" fontId="17" fillId="0" borderId="7" xfId="15" applyFont="1" applyBorder="1" applyAlignment="1">
      <alignment vertical="center"/>
    </xf>
    <xf numFmtId="43" fontId="50" fillId="0" borderId="7" xfId="15" applyFont="1" applyBorder="1" applyAlignment="1">
      <alignment vertical="center"/>
    </xf>
    <xf numFmtId="43" fontId="17" fillId="0" borderId="21" xfId="15" applyFont="1" applyBorder="1" applyAlignment="1">
      <alignment vertical="center"/>
    </xf>
    <xf numFmtId="43" fontId="50" fillId="0" borderId="21" xfId="15" applyFont="1" applyBorder="1" applyAlignment="1">
      <alignment vertical="center"/>
    </xf>
    <xf numFmtId="43" fontId="6" fillId="2" borderId="39" xfId="15" applyFont="1" applyFill="1" applyBorder="1" applyAlignment="1">
      <alignment vertical="center"/>
    </xf>
    <xf numFmtId="43" fontId="7" fillId="2" borderId="39" xfId="15" applyFont="1" applyFill="1" applyBorder="1" applyAlignment="1">
      <alignment vertical="center"/>
    </xf>
    <xf numFmtId="39" fontId="22" fillId="0" borderId="7" xfId="15" applyNumberFormat="1" applyFont="1" applyBorder="1" applyAlignment="1">
      <alignment vertical="center"/>
    </xf>
    <xf numFmtId="43" fontId="22" fillId="0" borderId="0" xfId="15" applyFont="1" applyBorder="1" applyAlignment="1">
      <alignment vertical="center"/>
    </xf>
    <xf numFmtId="43" fontId="23" fillId="0" borderId="7" xfId="15" applyFont="1" applyBorder="1" applyAlignment="1">
      <alignment vertical="center"/>
    </xf>
    <xf numFmtId="39" fontId="5" fillId="0" borderId="0" xfId="0" applyNumberFormat="1" applyFont="1" applyFill="1" applyBorder="1" applyAlignment="1">
      <alignment vertical="center"/>
    </xf>
    <xf numFmtId="39" fontId="5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8" fontId="40" fillId="0" borderId="0" xfId="0" applyNumberFormat="1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3" fontId="5" fillId="0" borderId="3" xfId="15" applyFont="1" applyBorder="1" applyAlignment="1">
      <alignment vertical="center"/>
    </xf>
    <xf numFmtId="43" fontId="8" fillId="0" borderId="24" xfId="15" applyFont="1" applyBorder="1" applyAlignment="1">
      <alignment vertical="center"/>
    </xf>
    <xf numFmtId="43" fontId="5" fillId="0" borderId="40" xfId="15" applyFont="1" applyBorder="1" applyAlignment="1">
      <alignment vertical="center"/>
    </xf>
    <xf numFmtId="43" fontId="8" fillId="0" borderId="38" xfId="15" applyFont="1" applyBorder="1" applyAlignment="1">
      <alignment vertical="center"/>
    </xf>
    <xf numFmtId="43" fontId="6" fillId="0" borderId="41" xfId="15" applyFont="1" applyBorder="1" applyAlignment="1">
      <alignment vertical="center"/>
    </xf>
    <xf numFmtId="43" fontId="6" fillId="0" borderId="42" xfId="15" applyFont="1" applyBorder="1" applyAlignment="1">
      <alignment vertical="center"/>
    </xf>
    <xf numFmtId="43" fontId="5" fillId="0" borderId="41" xfId="15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9" fontId="5" fillId="0" borderId="5" xfId="0" applyNumberFormat="1" applyFont="1" applyBorder="1" applyAlignment="1">
      <alignment horizontal="right"/>
    </xf>
    <xf numFmtId="178" fontId="18" fillId="0" borderId="5" xfId="0" applyNumberFormat="1" applyFont="1" applyBorder="1" applyAlignment="1">
      <alignment vertical="center"/>
    </xf>
    <xf numFmtId="188" fontId="8" fillId="0" borderId="13" xfId="15" applyNumberFormat="1" applyFont="1" applyBorder="1" applyAlignment="1">
      <alignment vertical="center"/>
    </xf>
    <xf numFmtId="179" fontId="23" fillId="0" borderId="0" xfId="0" applyNumberFormat="1" applyFont="1" applyAlignment="1">
      <alignment horizontal="left" vertical="center"/>
    </xf>
    <xf numFmtId="178" fontId="50" fillId="0" borderId="0" xfId="0" applyNumberFormat="1" applyFont="1" applyAlignment="1">
      <alignment vertical="center"/>
    </xf>
    <xf numFmtId="178" fontId="22" fillId="0" borderId="5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42" fillId="0" borderId="34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178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horizontal="centerContinuous" vertical="center"/>
    </xf>
    <xf numFmtId="178" fontId="49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49</xdr:row>
      <xdr:rowOff>9525</xdr:rowOff>
    </xdr:from>
    <xdr:to>
      <xdr:col>12</xdr:col>
      <xdr:colOff>428625</xdr:colOff>
      <xdr:row>50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895975" y="9839325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189</xdr:row>
      <xdr:rowOff>0</xdr:rowOff>
    </xdr:from>
    <xdr:to>
      <xdr:col>10</xdr:col>
      <xdr:colOff>314325</xdr:colOff>
      <xdr:row>189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38700" y="3354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189</xdr:row>
      <xdr:rowOff>0</xdr:rowOff>
    </xdr:from>
    <xdr:to>
      <xdr:col>12</xdr:col>
      <xdr:colOff>314325</xdr:colOff>
      <xdr:row>189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72150" y="3354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189</xdr:row>
      <xdr:rowOff>0</xdr:rowOff>
    </xdr:from>
    <xdr:to>
      <xdr:col>14</xdr:col>
      <xdr:colOff>314325</xdr:colOff>
      <xdr:row>189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05600" y="3354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189</xdr:row>
      <xdr:rowOff>0</xdr:rowOff>
    </xdr:from>
    <xdr:to>
      <xdr:col>16</xdr:col>
      <xdr:colOff>314325</xdr:colOff>
      <xdr:row>189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629525" y="3354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189</xdr:row>
      <xdr:rowOff>0</xdr:rowOff>
    </xdr:from>
    <xdr:to>
      <xdr:col>18</xdr:col>
      <xdr:colOff>314325</xdr:colOff>
      <xdr:row>189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591550" y="3354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104775</xdr:colOff>
      <xdr:row>49</xdr:row>
      <xdr:rowOff>9525</xdr:rowOff>
    </xdr:from>
    <xdr:to>
      <xdr:col>8</xdr:col>
      <xdr:colOff>419100</xdr:colOff>
      <xdr:row>49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3886200" y="9839325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66675</xdr:colOff>
      <xdr:row>49</xdr:row>
      <xdr:rowOff>9525</xdr:rowOff>
    </xdr:from>
    <xdr:to>
      <xdr:col>10</xdr:col>
      <xdr:colOff>361950</xdr:colOff>
      <xdr:row>50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867275" y="9839325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142875</xdr:colOff>
      <xdr:row>49</xdr:row>
      <xdr:rowOff>9525</xdr:rowOff>
    </xdr:from>
    <xdr:to>
      <xdr:col>14</xdr:col>
      <xdr:colOff>447675</xdr:colOff>
      <xdr:row>49</xdr:row>
      <xdr:rowOff>209550</xdr:rowOff>
    </xdr:to>
    <xdr:sp>
      <xdr:nvSpPr>
        <xdr:cNvPr id="9" name="Rectangle 32"/>
        <xdr:cNvSpPr>
          <a:spLocks/>
        </xdr:cNvSpPr>
      </xdr:nvSpPr>
      <xdr:spPr>
        <a:xfrm>
          <a:off x="6810375" y="983932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152400</xdr:colOff>
      <xdr:row>49</xdr:row>
      <xdr:rowOff>9525</xdr:rowOff>
    </xdr:from>
    <xdr:to>
      <xdr:col>16</xdr:col>
      <xdr:colOff>457200</xdr:colOff>
      <xdr:row>49</xdr:row>
      <xdr:rowOff>200025</xdr:rowOff>
    </xdr:to>
    <xdr:sp>
      <xdr:nvSpPr>
        <xdr:cNvPr id="10" name="Rectangle 33"/>
        <xdr:cNvSpPr>
          <a:spLocks/>
        </xdr:cNvSpPr>
      </xdr:nvSpPr>
      <xdr:spPr>
        <a:xfrm>
          <a:off x="7762875" y="98393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49</xdr:row>
      <xdr:rowOff>209550</xdr:rowOff>
    </xdr:to>
    <xdr:sp>
      <xdr:nvSpPr>
        <xdr:cNvPr id="11" name="Rectangle 36"/>
        <xdr:cNvSpPr>
          <a:spLocks/>
        </xdr:cNvSpPr>
      </xdr:nvSpPr>
      <xdr:spPr>
        <a:xfrm>
          <a:off x="9715500" y="9839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174</xdr:row>
      <xdr:rowOff>0</xdr:rowOff>
    </xdr:from>
    <xdr:to>
      <xdr:col>10</xdr:col>
      <xdr:colOff>314325</xdr:colOff>
      <xdr:row>174</xdr:row>
      <xdr:rowOff>0</xdr:rowOff>
    </xdr:to>
    <xdr:sp>
      <xdr:nvSpPr>
        <xdr:cNvPr id="12" name="Rectangle 37"/>
        <xdr:cNvSpPr>
          <a:spLocks/>
        </xdr:cNvSpPr>
      </xdr:nvSpPr>
      <xdr:spPr>
        <a:xfrm>
          <a:off x="4838700" y="30737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174</xdr:row>
      <xdr:rowOff>0</xdr:rowOff>
    </xdr:from>
    <xdr:to>
      <xdr:col>12</xdr:col>
      <xdr:colOff>314325</xdr:colOff>
      <xdr:row>174</xdr:row>
      <xdr:rowOff>0</xdr:rowOff>
    </xdr:to>
    <xdr:sp>
      <xdr:nvSpPr>
        <xdr:cNvPr id="13" name="Rectangle 38"/>
        <xdr:cNvSpPr>
          <a:spLocks/>
        </xdr:cNvSpPr>
      </xdr:nvSpPr>
      <xdr:spPr>
        <a:xfrm>
          <a:off x="5772150" y="307371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174</xdr:row>
      <xdr:rowOff>0</xdr:rowOff>
    </xdr:from>
    <xdr:to>
      <xdr:col>14</xdr:col>
      <xdr:colOff>314325</xdr:colOff>
      <xdr:row>174</xdr:row>
      <xdr:rowOff>0</xdr:rowOff>
    </xdr:to>
    <xdr:sp>
      <xdr:nvSpPr>
        <xdr:cNvPr id="14" name="Rectangle 39"/>
        <xdr:cNvSpPr>
          <a:spLocks/>
        </xdr:cNvSpPr>
      </xdr:nvSpPr>
      <xdr:spPr>
        <a:xfrm>
          <a:off x="6705600" y="30737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174</xdr:row>
      <xdr:rowOff>0</xdr:rowOff>
    </xdr:from>
    <xdr:to>
      <xdr:col>16</xdr:col>
      <xdr:colOff>314325</xdr:colOff>
      <xdr:row>174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7629525" y="307371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174</xdr:row>
      <xdr:rowOff>0</xdr:rowOff>
    </xdr:from>
    <xdr:to>
      <xdr:col>18</xdr:col>
      <xdr:colOff>314325</xdr:colOff>
      <xdr:row>174</xdr:row>
      <xdr:rowOff>0</xdr:rowOff>
    </xdr:to>
    <xdr:sp>
      <xdr:nvSpPr>
        <xdr:cNvPr id="16" name="Rectangle 41"/>
        <xdr:cNvSpPr>
          <a:spLocks/>
        </xdr:cNvSpPr>
      </xdr:nvSpPr>
      <xdr:spPr>
        <a:xfrm>
          <a:off x="8591550" y="307371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49</xdr:row>
      <xdr:rowOff>209550</xdr:rowOff>
    </xdr:to>
    <xdr:sp>
      <xdr:nvSpPr>
        <xdr:cNvPr id="17" name="Rectangle 43"/>
        <xdr:cNvSpPr>
          <a:spLocks/>
        </xdr:cNvSpPr>
      </xdr:nvSpPr>
      <xdr:spPr>
        <a:xfrm>
          <a:off x="9715500" y="9839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50</xdr:row>
      <xdr:rowOff>9525</xdr:rowOff>
    </xdr:to>
    <xdr:sp>
      <xdr:nvSpPr>
        <xdr:cNvPr id="18" name="Rectangle 44"/>
        <xdr:cNvSpPr>
          <a:spLocks/>
        </xdr:cNvSpPr>
      </xdr:nvSpPr>
      <xdr:spPr>
        <a:xfrm>
          <a:off x="9715500" y="98393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49</xdr:row>
      <xdr:rowOff>209550</xdr:rowOff>
    </xdr:to>
    <xdr:sp>
      <xdr:nvSpPr>
        <xdr:cNvPr id="19" name="Rectangle 45"/>
        <xdr:cNvSpPr>
          <a:spLocks/>
        </xdr:cNvSpPr>
      </xdr:nvSpPr>
      <xdr:spPr>
        <a:xfrm>
          <a:off x="9715500" y="9839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172</xdr:row>
      <xdr:rowOff>0</xdr:rowOff>
    </xdr:from>
    <xdr:to>
      <xdr:col>8</xdr:col>
      <xdr:colOff>314325</xdr:colOff>
      <xdr:row>172</xdr:row>
      <xdr:rowOff>0</xdr:rowOff>
    </xdr:to>
    <xdr:sp>
      <xdr:nvSpPr>
        <xdr:cNvPr id="20" name="Rectangle 62"/>
        <xdr:cNvSpPr>
          <a:spLocks/>
        </xdr:cNvSpPr>
      </xdr:nvSpPr>
      <xdr:spPr>
        <a:xfrm>
          <a:off x="3819525" y="30451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172</xdr:row>
      <xdr:rowOff>0</xdr:rowOff>
    </xdr:from>
    <xdr:to>
      <xdr:col>10</xdr:col>
      <xdr:colOff>314325</xdr:colOff>
      <xdr:row>172</xdr:row>
      <xdr:rowOff>0</xdr:rowOff>
    </xdr:to>
    <xdr:sp>
      <xdr:nvSpPr>
        <xdr:cNvPr id="21" name="Rectangle 63"/>
        <xdr:cNvSpPr>
          <a:spLocks/>
        </xdr:cNvSpPr>
      </xdr:nvSpPr>
      <xdr:spPr>
        <a:xfrm>
          <a:off x="4819650" y="30451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172</xdr:row>
      <xdr:rowOff>0</xdr:rowOff>
    </xdr:from>
    <xdr:to>
      <xdr:col>12</xdr:col>
      <xdr:colOff>314325</xdr:colOff>
      <xdr:row>172</xdr:row>
      <xdr:rowOff>0</xdr:rowOff>
    </xdr:to>
    <xdr:sp>
      <xdr:nvSpPr>
        <xdr:cNvPr id="22" name="Rectangle 64"/>
        <xdr:cNvSpPr>
          <a:spLocks/>
        </xdr:cNvSpPr>
      </xdr:nvSpPr>
      <xdr:spPr>
        <a:xfrm>
          <a:off x="5791200" y="30451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172</xdr:row>
      <xdr:rowOff>0</xdr:rowOff>
    </xdr:from>
    <xdr:to>
      <xdr:col>14</xdr:col>
      <xdr:colOff>314325</xdr:colOff>
      <xdr:row>172</xdr:row>
      <xdr:rowOff>0</xdr:rowOff>
    </xdr:to>
    <xdr:sp>
      <xdr:nvSpPr>
        <xdr:cNvPr id="23" name="Rectangle 65"/>
        <xdr:cNvSpPr>
          <a:spLocks/>
        </xdr:cNvSpPr>
      </xdr:nvSpPr>
      <xdr:spPr>
        <a:xfrm>
          <a:off x="6686550" y="30451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172</xdr:row>
      <xdr:rowOff>0</xdr:rowOff>
    </xdr:from>
    <xdr:to>
      <xdr:col>16</xdr:col>
      <xdr:colOff>314325</xdr:colOff>
      <xdr:row>172</xdr:row>
      <xdr:rowOff>0</xdr:rowOff>
    </xdr:to>
    <xdr:sp>
      <xdr:nvSpPr>
        <xdr:cNvPr id="24" name="Rectangle 66"/>
        <xdr:cNvSpPr>
          <a:spLocks/>
        </xdr:cNvSpPr>
      </xdr:nvSpPr>
      <xdr:spPr>
        <a:xfrm>
          <a:off x="7629525" y="30451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163</xdr:row>
      <xdr:rowOff>0</xdr:rowOff>
    </xdr:from>
    <xdr:to>
      <xdr:col>8</xdr:col>
      <xdr:colOff>314325</xdr:colOff>
      <xdr:row>163</xdr:row>
      <xdr:rowOff>0</xdr:rowOff>
    </xdr:to>
    <xdr:sp>
      <xdr:nvSpPr>
        <xdr:cNvPr id="25" name="Rectangle 68"/>
        <xdr:cNvSpPr>
          <a:spLocks/>
        </xdr:cNvSpPr>
      </xdr:nvSpPr>
      <xdr:spPr>
        <a:xfrm>
          <a:off x="3819525" y="299656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163</xdr:row>
      <xdr:rowOff>0</xdr:rowOff>
    </xdr:from>
    <xdr:to>
      <xdr:col>10</xdr:col>
      <xdr:colOff>314325</xdr:colOff>
      <xdr:row>163</xdr:row>
      <xdr:rowOff>0</xdr:rowOff>
    </xdr:to>
    <xdr:sp>
      <xdr:nvSpPr>
        <xdr:cNvPr id="26" name="Rectangle 69"/>
        <xdr:cNvSpPr>
          <a:spLocks/>
        </xdr:cNvSpPr>
      </xdr:nvSpPr>
      <xdr:spPr>
        <a:xfrm>
          <a:off x="4819650" y="299656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163</xdr:row>
      <xdr:rowOff>0</xdr:rowOff>
    </xdr:from>
    <xdr:to>
      <xdr:col>12</xdr:col>
      <xdr:colOff>314325</xdr:colOff>
      <xdr:row>163</xdr:row>
      <xdr:rowOff>0</xdr:rowOff>
    </xdr:to>
    <xdr:sp>
      <xdr:nvSpPr>
        <xdr:cNvPr id="27" name="Rectangle 70"/>
        <xdr:cNvSpPr>
          <a:spLocks/>
        </xdr:cNvSpPr>
      </xdr:nvSpPr>
      <xdr:spPr>
        <a:xfrm>
          <a:off x="5791200" y="299656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163</xdr:row>
      <xdr:rowOff>0</xdr:rowOff>
    </xdr:from>
    <xdr:to>
      <xdr:col>14</xdr:col>
      <xdr:colOff>314325</xdr:colOff>
      <xdr:row>163</xdr:row>
      <xdr:rowOff>0</xdr:rowOff>
    </xdr:to>
    <xdr:sp>
      <xdr:nvSpPr>
        <xdr:cNvPr id="28" name="Rectangle 71"/>
        <xdr:cNvSpPr>
          <a:spLocks/>
        </xdr:cNvSpPr>
      </xdr:nvSpPr>
      <xdr:spPr>
        <a:xfrm>
          <a:off x="6686550" y="299656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163</xdr:row>
      <xdr:rowOff>0</xdr:rowOff>
    </xdr:from>
    <xdr:to>
      <xdr:col>16</xdr:col>
      <xdr:colOff>314325</xdr:colOff>
      <xdr:row>163</xdr:row>
      <xdr:rowOff>0</xdr:rowOff>
    </xdr:to>
    <xdr:sp>
      <xdr:nvSpPr>
        <xdr:cNvPr id="29" name="Rectangle 72"/>
        <xdr:cNvSpPr>
          <a:spLocks/>
        </xdr:cNvSpPr>
      </xdr:nvSpPr>
      <xdr:spPr>
        <a:xfrm>
          <a:off x="7629525" y="299656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258</xdr:row>
      <xdr:rowOff>0</xdr:rowOff>
    </xdr:from>
    <xdr:to>
      <xdr:col>8</xdr:col>
      <xdr:colOff>314325</xdr:colOff>
      <xdr:row>258</xdr:row>
      <xdr:rowOff>0</xdr:rowOff>
    </xdr:to>
    <xdr:sp>
      <xdr:nvSpPr>
        <xdr:cNvPr id="30" name="Rectangle 74"/>
        <xdr:cNvSpPr>
          <a:spLocks/>
        </xdr:cNvSpPr>
      </xdr:nvSpPr>
      <xdr:spPr>
        <a:xfrm>
          <a:off x="3819525" y="47215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258</xdr:row>
      <xdr:rowOff>0</xdr:rowOff>
    </xdr:from>
    <xdr:to>
      <xdr:col>10</xdr:col>
      <xdr:colOff>314325</xdr:colOff>
      <xdr:row>258</xdr:row>
      <xdr:rowOff>0</xdr:rowOff>
    </xdr:to>
    <xdr:sp>
      <xdr:nvSpPr>
        <xdr:cNvPr id="31" name="Rectangle 75"/>
        <xdr:cNvSpPr>
          <a:spLocks/>
        </xdr:cNvSpPr>
      </xdr:nvSpPr>
      <xdr:spPr>
        <a:xfrm>
          <a:off x="4819650" y="47215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252</xdr:row>
      <xdr:rowOff>0</xdr:rowOff>
    </xdr:from>
    <xdr:to>
      <xdr:col>8</xdr:col>
      <xdr:colOff>314325</xdr:colOff>
      <xdr:row>252</xdr:row>
      <xdr:rowOff>0</xdr:rowOff>
    </xdr:to>
    <xdr:sp>
      <xdr:nvSpPr>
        <xdr:cNvPr id="32" name="Rectangle 76"/>
        <xdr:cNvSpPr>
          <a:spLocks/>
        </xdr:cNvSpPr>
      </xdr:nvSpPr>
      <xdr:spPr>
        <a:xfrm>
          <a:off x="3819525" y="46110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252</xdr:row>
      <xdr:rowOff>0</xdr:rowOff>
    </xdr:from>
    <xdr:to>
      <xdr:col>10</xdr:col>
      <xdr:colOff>314325</xdr:colOff>
      <xdr:row>252</xdr:row>
      <xdr:rowOff>0</xdr:rowOff>
    </xdr:to>
    <xdr:sp>
      <xdr:nvSpPr>
        <xdr:cNvPr id="33" name="Rectangle 77"/>
        <xdr:cNvSpPr>
          <a:spLocks/>
        </xdr:cNvSpPr>
      </xdr:nvSpPr>
      <xdr:spPr>
        <a:xfrm>
          <a:off x="4819650" y="46110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314325</xdr:colOff>
      <xdr:row>171</xdr:row>
      <xdr:rowOff>0</xdr:rowOff>
    </xdr:to>
    <xdr:sp>
      <xdr:nvSpPr>
        <xdr:cNvPr id="34" name="Rectangle 78"/>
        <xdr:cNvSpPr>
          <a:spLocks/>
        </xdr:cNvSpPr>
      </xdr:nvSpPr>
      <xdr:spPr>
        <a:xfrm>
          <a:off x="4838700" y="302514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171</xdr:row>
      <xdr:rowOff>0</xdr:rowOff>
    </xdr:from>
    <xdr:to>
      <xdr:col>12</xdr:col>
      <xdr:colOff>314325</xdr:colOff>
      <xdr:row>171</xdr:row>
      <xdr:rowOff>0</xdr:rowOff>
    </xdr:to>
    <xdr:sp>
      <xdr:nvSpPr>
        <xdr:cNvPr id="35" name="Rectangle 79"/>
        <xdr:cNvSpPr>
          <a:spLocks/>
        </xdr:cNvSpPr>
      </xdr:nvSpPr>
      <xdr:spPr>
        <a:xfrm>
          <a:off x="5772150" y="302514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171</xdr:row>
      <xdr:rowOff>0</xdr:rowOff>
    </xdr:from>
    <xdr:to>
      <xdr:col>14</xdr:col>
      <xdr:colOff>314325</xdr:colOff>
      <xdr:row>171</xdr:row>
      <xdr:rowOff>0</xdr:rowOff>
    </xdr:to>
    <xdr:sp>
      <xdr:nvSpPr>
        <xdr:cNvPr id="36" name="Rectangle 80"/>
        <xdr:cNvSpPr>
          <a:spLocks/>
        </xdr:cNvSpPr>
      </xdr:nvSpPr>
      <xdr:spPr>
        <a:xfrm>
          <a:off x="6705600" y="302514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171</xdr:row>
      <xdr:rowOff>0</xdr:rowOff>
    </xdr:from>
    <xdr:to>
      <xdr:col>16</xdr:col>
      <xdr:colOff>314325</xdr:colOff>
      <xdr:row>171</xdr:row>
      <xdr:rowOff>0</xdr:rowOff>
    </xdr:to>
    <xdr:sp>
      <xdr:nvSpPr>
        <xdr:cNvPr id="37" name="Rectangle 81"/>
        <xdr:cNvSpPr>
          <a:spLocks/>
        </xdr:cNvSpPr>
      </xdr:nvSpPr>
      <xdr:spPr>
        <a:xfrm>
          <a:off x="7629525" y="302514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171</xdr:row>
      <xdr:rowOff>0</xdr:rowOff>
    </xdr:from>
    <xdr:to>
      <xdr:col>18</xdr:col>
      <xdr:colOff>314325</xdr:colOff>
      <xdr:row>171</xdr:row>
      <xdr:rowOff>0</xdr:rowOff>
    </xdr:to>
    <xdr:sp>
      <xdr:nvSpPr>
        <xdr:cNvPr id="38" name="Rectangle 82"/>
        <xdr:cNvSpPr>
          <a:spLocks/>
        </xdr:cNvSpPr>
      </xdr:nvSpPr>
      <xdr:spPr>
        <a:xfrm>
          <a:off x="8591550" y="302514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162</xdr:row>
      <xdr:rowOff>0</xdr:rowOff>
    </xdr:from>
    <xdr:to>
      <xdr:col>10</xdr:col>
      <xdr:colOff>314325</xdr:colOff>
      <xdr:row>162</xdr:row>
      <xdr:rowOff>0</xdr:rowOff>
    </xdr:to>
    <xdr:sp>
      <xdr:nvSpPr>
        <xdr:cNvPr id="39" name="Rectangle 84"/>
        <xdr:cNvSpPr>
          <a:spLocks/>
        </xdr:cNvSpPr>
      </xdr:nvSpPr>
      <xdr:spPr>
        <a:xfrm>
          <a:off x="4838700" y="297751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162</xdr:row>
      <xdr:rowOff>0</xdr:rowOff>
    </xdr:from>
    <xdr:to>
      <xdr:col>12</xdr:col>
      <xdr:colOff>314325</xdr:colOff>
      <xdr:row>162</xdr:row>
      <xdr:rowOff>0</xdr:rowOff>
    </xdr:to>
    <xdr:sp>
      <xdr:nvSpPr>
        <xdr:cNvPr id="40" name="Rectangle 85"/>
        <xdr:cNvSpPr>
          <a:spLocks/>
        </xdr:cNvSpPr>
      </xdr:nvSpPr>
      <xdr:spPr>
        <a:xfrm>
          <a:off x="5772150" y="297751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162</xdr:row>
      <xdr:rowOff>0</xdr:rowOff>
    </xdr:from>
    <xdr:to>
      <xdr:col>14</xdr:col>
      <xdr:colOff>314325</xdr:colOff>
      <xdr:row>162</xdr:row>
      <xdr:rowOff>0</xdr:rowOff>
    </xdr:to>
    <xdr:sp>
      <xdr:nvSpPr>
        <xdr:cNvPr id="41" name="Rectangle 86"/>
        <xdr:cNvSpPr>
          <a:spLocks/>
        </xdr:cNvSpPr>
      </xdr:nvSpPr>
      <xdr:spPr>
        <a:xfrm>
          <a:off x="6705600" y="297751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162</xdr:row>
      <xdr:rowOff>0</xdr:rowOff>
    </xdr:from>
    <xdr:to>
      <xdr:col>16</xdr:col>
      <xdr:colOff>314325</xdr:colOff>
      <xdr:row>162</xdr:row>
      <xdr:rowOff>0</xdr:rowOff>
    </xdr:to>
    <xdr:sp>
      <xdr:nvSpPr>
        <xdr:cNvPr id="42" name="Rectangle 87"/>
        <xdr:cNvSpPr>
          <a:spLocks/>
        </xdr:cNvSpPr>
      </xdr:nvSpPr>
      <xdr:spPr>
        <a:xfrm>
          <a:off x="7629525" y="297751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162</xdr:row>
      <xdr:rowOff>0</xdr:rowOff>
    </xdr:from>
    <xdr:to>
      <xdr:col>18</xdr:col>
      <xdr:colOff>314325</xdr:colOff>
      <xdr:row>162</xdr:row>
      <xdr:rowOff>0</xdr:rowOff>
    </xdr:to>
    <xdr:sp>
      <xdr:nvSpPr>
        <xdr:cNvPr id="43" name="Rectangle 88"/>
        <xdr:cNvSpPr>
          <a:spLocks/>
        </xdr:cNvSpPr>
      </xdr:nvSpPr>
      <xdr:spPr>
        <a:xfrm>
          <a:off x="8591550" y="297751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142875</xdr:colOff>
      <xdr:row>49</xdr:row>
      <xdr:rowOff>9525</xdr:rowOff>
    </xdr:from>
    <xdr:to>
      <xdr:col>12</xdr:col>
      <xdr:colOff>428625</xdr:colOff>
      <xdr:row>50</xdr:row>
      <xdr:rowOff>9525</xdr:rowOff>
    </xdr:to>
    <xdr:sp>
      <xdr:nvSpPr>
        <xdr:cNvPr id="44" name="Rectangle 90"/>
        <xdr:cNvSpPr>
          <a:spLocks/>
        </xdr:cNvSpPr>
      </xdr:nvSpPr>
      <xdr:spPr>
        <a:xfrm>
          <a:off x="5895975" y="9839325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258</xdr:row>
      <xdr:rowOff>0</xdr:rowOff>
    </xdr:from>
    <xdr:to>
      <xdr:col>10</xdr:col>
      <xdr:colOff>314325</xdr:colOff>
      <xdr:row>258</xdr:row>
      <xdr:rowOff>0</xdr:rowOff>
    </xdr:to>
    <xdr:sp>
      <xdr:nvSpPr>
        <xdr:cNvPr id="45" name="Rectangle 91"/>
        <xdr:cNvSpPr>
          <a:spLocks/>
        </xdr:cNvSpPr>
      </xdr:nvSpPr>
      <xdr:spPr>
        <a:xfrm>
          <a:off x="4838700" y="47215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252</xdr:row>
      <xdr:rowOff>0</xdr:rowOff>
    </xdr:from>
    <xdr:to>
      <xdr:col>8</xdr:col>
      <xdr:colOff>314325</xdr:colOff>
      <xdr:row>252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3800475" y="46110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252</xdr:row>
      <xdr:rowOff>0</xdr:rowOff>
    </xdr:from>
    <xdr:to>
      <xdr:col>10</xdr:col>
      <xdr:colOff>314325</xdr:colOff>
      <xdr:row>252</xdr:row>
      <xdr:rowOff>0</xdr:rowOff>
    </xdr:to>
    <xdr:sp>
      <xdr:nvSpPr>
        <xdr:cNvPr id="47" name="Rectangle 93"/>
        <xdr:cNvSpPr>
          <a:spLocks/>
        </xdr:cNvSpPr>
      </xdr:nvSpPr>
      <xdr:spPr>
        <a:xfrm>
          <a:off x="4838700" y="461105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252</xdr:row>
      <xdr:rowOff>0</xdr:rowOff>
    </xdr:from>
    <xdr:to>
      <xdr:col>14</xdr:col>
      <xdr:colOff>314325</xdr:colOff>
      <xdr:row>252</xdr:row>
      <xdr:rowOff>0</xdr:rowOff>
    </xdr:to>
    <xdr:sp>
      <xdr:nvSpPr>
        <xdr:cNvPr id="48" name="Rectangle 94"/>
        <xdr:cNvSpPr>
          <a:spLocks/>
        </xdr:cNvSpPr>
      </xdr:nvSpPr>
      <xdr:spPr>
        <a:xfrm>
          <a:off x="6686550" y="46110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258</xdr:row>
      <xdr:rowOff>0</xdr:rowOff>
    </xdr:from>
    <xdr:to>
      <xdr:col>18</xdr:col>
      <xdr:colOff>314325</xdr:colOff>
      <xdr:row>258</xdr:row>
      <xdr:rowOff>0</xdr:rowOff>
    </xdr:to>
    <xdr:sp>
      <xdr:nvSpPr>
        <xdr:cNvPr id="49" name="Rectangle 95"/>
        <xdr:cNvSpPr>
          <a:spLocks/>
        </xdr:cNvSpPr>
      </xdr:nvSpPr>
      <xdr:spPr>
        <a:xfrm>
          <a:off x="8591550" y="47215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104775</xdr:colOff>
      <xdr:row>49</xdr:row>
      <xdr:rowOff>9525</xdr:rowOff>
    </xdr:from>
    <xdr:to>
      <xdr:col>8</xdr:col>
      <xdr:colOff>419100</xdr:colOff>
      <xdr:row>49</xdr:row>
      <xdr:rowOff>200025</xdr:rowOff>
    </xdr:to>
    <xdr:sp>
      <xdr:nvSpPr>
        <xdr:cNvPr id="50" name="Rectangle 96"/>
        <xdr:cNvSpPr>
          <a:spLocks/>
        </xdr:cNvSpPr>
      </xdr:nvSpPr>
      <xdr:spPr>
        <a:xfrm>
          <a:off x="3886200" y="9839325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66675</xdr:colOff>
      <xdr:row>49</xdr:row>
      <xdr:rowOff>9525</xdr:rowOff>
    </xdr:from>
    <xdr:to>
      <xdr:col>10</xdr:col>
      <xdr:colOff>361950</xdr:colOff>
      <xdr:row>50</xdr:row>
      <xdr:rowOff>0</xdr:rowOff>
    </xdr:to>
    <xdr:sp>
      <xdr:nvSpPr>
        <xdr:cNvPr id="51" name="Rectangle 97"/>
        <xdr:cNvSpPr>
          <a:spLocks/>
        </xdr:cNvSpPr>
      </xdr:nvSpPr>
      <xdr:spPr>
        <a:xfrm>
          <a:off x="4867275" y="9839325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142875</xdr:colOff>
      <xdr:row>49</xdr:row>
      <xdr:rowOff>9525</xdr:rowOff>
    </xdr:from>
    <xdr:to>
      <xdr:col>14</xdr:col>
      <xdr:colOff>447675</xdr:colOff>
      <xdr:row>49</xdr:row>
      <xdr:rowOff>209550</xdr:rowOff>
    </xdr:to>
    <xdr:sp>
      <xdr:nvSpPr>
        <xdr:cNvPr id="52" name="Rectangle 99"/>
        <xdr:cNvSpPr>
          <a:spLocks/>
        </xdr:cNvSpPr>
      </xdr:nvSpPr>
      <xdr:spPr>
        <a:xfrm>
          <a:off x="6810375" y="983932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152400</xdr:colOff>
      <xdr:row>49</xdr:row>
      <xdr:rowOff>9525</xdr:rowOff>
    </xdr:from>
    <xdr:to>
      <xdr:col>16</xdr:col>
      <xdr:colOff>457200</xdr:colOff>
      <xdr:row>49</xdr:row>
      <xdr:rowOff>200025</xdr:rowOff>
    </xdr:to>
    <xdr:sp>
      <xdr:nvSpPr>
        <xdr:cNvPr id="53" name="Rectangle 100"/>
        <xdr:cNvSpPr>
          <a:spLocks/>
        </xdr:cNvSpPr>
      </xdr:nvSpPr>
      <xdr:spPr>
        <a:xfrm>
          <a:off x="7762875" y="98393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49</xdr:row>
      <xdr:rowOff>209550</xdr:rowOff>
    </xdr:to>
    <xdr:sp>
      <xdr:nvSpPr>
        <xdr:cNvPr id="54" name="Rectangle 101"/>
        <xdr:cNvSpPr>
          <a:spLocks/>
        </xdr:cNvSpPr>
      </xdr:nvSpPr>
      <xdr:spPr>
        <a:xfrm>
          <a:off x="9715500" y="9839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176</xdr:row>
      <xdr:rowOff>0</xdr:rowOff>
    </xdr:from>
    <xdr:to>
      <xdr:col>10</xdr:col>
      <xdr:colOff>314325</xdr:colOff>
      <xdr:row>176</xdr:row>
      <xdr:rowOff>0</xdr:rowOff>
    </xdr:to>
    <xdr:sp>
      <xdr:nvSpPr>
        <xdr:cNvPr id="55" name="Rectangle 102"/>
        <xdr:cNvSpPr>
          <a:spLocks/>
        </xdr:cNvSpPr>
      </xdr:nvSpPr>
      <xdr:spPr>
        <a:xfrm>
          <a:off x="4838700" y="310229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176</xdr:row>
      <xdr:rowOff>0</xdr:rowOff>
    </xdr:from>
    <xdr:to>
      <xdr:col>12</xdr:col>
      <xdr:colOff>314325</xdr:colOff>
      <xdr:row>176</xdr:row>
      <xdr:rowOff>0</xdr:rowOff>
    </xdr:to>
    <xdr:sp>
      <xdr:nvSpPr>
        <xdr:cNvPr id="56" name="Rectangle 103"/>
        <xdr:cNvSpPr>
          <a:spLocks/>
        </xdr:cNvSpPr>
      </xdr:nvSpPr>
      <xdr:spPr>
        <a:xfrm>
          <a:off x="5772150" y="31022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176</xdr:row>
      <xdr:rowOff>0</xdr:rowOff>
    </xdr:from>
    <xdr:to>
      <xdr:col>14</xdr:col>
      <xdr:colOff>314325</xdr:colOff>
      <xdr:row>176</xdr:row>
      <xdr:rowOff>0</xdr:rowOff>
    </xdr:to>
    <xdr:sp>
      <xdr:nvSpPr>
        <xdr:cNvPr id="57" name="Rectangle 104"/>
        <xdr:cNvSpPr>
          <a:spLocks/>
        </xdr:cNvSpPr>
      </xdr:nvSpPr>
      <xdr:spPr>
        <a:xfrm>
          <a:off x="6705600" y="310229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176</xdr:row>
      <xdr:rowOff>0</xdr:rowOff>
    </xdr:from>
    <xdr:to>
      <xdr:col>16</xdr:col>
      <xdr:colOff>314325</xdr:colOff>
      <xdr:row>176</xdr:row>
      <xdr:rowOff>0</xdr:rowOff>
    </xdr:to>
    <xdr:sp>
      <xdr:nvSpPr>
        <xdr:cNvPr id="58" name="Rectangle 105"/>
        <xdr:cNvSpPr>
          <a:spLocks/>
        </xdr:cNvSpPr>
      </xdr:nvSpPr>
      <xdr:spPr>
        <a:xfrm>
          <a:off x="7629525" y="31022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176</xdr:row>
      <xdr:rowOff>0</xdr:rowOff>
    </xdr:from>
    <xdr:to>
      <xdr:col>18</xdr:col>
      <xdr:colOff>314325</xdr:colOff>
      <xdr:row>176</xdr:row>
      <xdr:rowOff>0</xdr:rowOff>
    </xdr:to>
    <xdr:sp>
      <xdr:nvSpPr>
        <xdr:cNvPr id="59" name="Rectangle 106"/>
        <xdr:cNvSpPr>
          <a:spLocks/>
        </xdr:cNvSpPr>
      </xdr:nvSpPr>
      <xdr:spPr>
        <a:xfrm>
          <a:off x="8591550" y="31022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49</xdr:row>
      <xdr:rowOff>209550</xdr:rowOff>
    </xdr:to>
    <xdr:sp>
      <xdr:nvSpPr>
        <xdr:cNvPr id="60" name="Rectangle 107"/>
        <xdr:cNvSpPr>
          <a:spLocks/>
        </xdr:cNvSpPr>
      </xdr:nvSpPr>
      <xdr:spPr>
        <a:xfrm>
          <a:off x="9715500" y="9839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50</xdr:row>
      <xdr:rowOff>9525</xdr:rowOff>
    </xdr:to>
    <xdr:sp>
      <xdr:nvSpPr>
        <xdr:cNvPr id="61" name="Rectangle 108"/>
        <xdr:cNvSpPr>
          <a:spLocks/>
        </xdr:cNvSpPr>
      </xdr:nvSpPr>
      <xdr:spPr>
        <a:xfrm>
          <a:off x="9715500" y="98393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49</xdr:row>
      <xdr:rowOff>209550</xdr:rowOff>
    </xdr:to>
    <xdr:sp>
      <xdr:nvSpPr>
        <xdr:cNvPr id="62" name="Rectangle 109"/>
        <xdr:cNvSpPr>
          <a:spLocks/>
        </xdr:cNvSpPr>
      </xdr:nvSpPr>
      <xdr:spPr>
        <a:xfrm>
          <a:off x="9715500" y="9839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175</xdr:row>
      <xdr:rowOff>0</xdr:rowOff>
    </xdr:from>
    <xdr:to>
      <xdr:col>8</xdr:col>
      <xdr:colOff>314325</xdr:colOff>
      <xdr:row>175</xdr:row>
      <xdr:rowOff>0</xdr:rowOff>
    </xdr:to>
    <xdr:sp>
      <xdr:nvSpPr>
        <xdr:cNvPr id="63" name="Rectangle 110"/>
        <xdr:cNvSpPr>
          <a:spLocks/>
        </xdr:cNvSpPr>
      </xdr:nvSpPr>
      <xdr:spPr>
        <a:xfrm>
          <a:off x="3819525" y="309372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175</xdr:row>
      <xdr:rowOff>0</xdr:rowOff>
    </xdr:from>
    <xdr:to>
      <xdr:col>10</xdr:col>
      <xdr:colOff>314325</xdr:colOff>
      <xdr:row>175</xdr:row>
      <xdr:rowOff>0</xdr:rowOff>
    </xdr:to>
    <xdr:sp>
      <xdr:nvSpPr>
        <xdr:cNvPr id="64" name="Rectangle 111"/>
        <xdr:cNvSpPr>
          <a:spLocks/>
        </xdr:cNvSpPr>
      </xdr:nvSpPr>
      <xdr:spPr>
        <a:xfrm>
          <a:off x="4819650" y="309372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175</xdr:row>
      <xdr:rowOff>0</xdr:rowOff>
    </xdr:from>
    <xdr:to>
      <xdr:col>12</xdr:col>
      <xdr:colOff>314325</xdr:colOff>
      <xdr:row>175</xdr:row>
      <xdr:rowOff>0</xdr:rowOff>
    </xdr:to>
    <xdr:sp>
      <xdr:nvSpPr>
        <xdr:cNvPr id="65" name="Rectangle 112"/>
        <xdr:cNvSpPr>
          <a:spLocks/>
        </xdr:cNvSpPr>
      </xdr:nvSpPr>
      <xdr:spPr>
        <a:xfrm>
          <a:off x="5791200" y="309372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175</xdr:row>
      <xdr:rowOff>0</xdr:rowOff>
    </xdr:from>
    <xdr:to>
      <xdr:col>14</xdr:col>
      <xdr:colOff>314325</xdr:colOff>
      <xdr:row>175</xdr:row>
      <xdr:rowOff>0</xdr:rowOff>
    </xdr:to>
    <xdr:sp>
      <xdr:nvSpPr>
        <xdr:cNvPr id="66" name="Rectangle 113"/>
        <xdr:cNvSpPr>
          <a:spLocks/>
        </xdr:cNvSpPr>
      </xdr:nvSpPr>
      <xdr:spPr>
        <a:xfrm>
          <a:off x="6686550" y="309372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175</xdr:row>
      <xdr:rowOff>0</xdr:rowOff>
    </xdr:from>
    <xdr:to>
      <xdr:col>16</xdr:col>
      <xdr:colOff>314325</xdr:colOff>
      <xdr:row>175</xdr:row>
      <xdr:rowOff>0</xdr:rowOff>
    </xdr:to>
    <xdr:sp>
      <xdr:nvSpPr>
        <xdr:cNvPr id="67" name="Rectangle 114"/>
        <xdr:cNvSpPr>
          <a:spLocks/>
        </xdr:cNvSpPr>
      </xdr:nvSpPr>
      <xdr:spPr>
        <a:xfrm>
          <a:off x="7629525" y="309372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168</xdr:row>
      <xdr:rowOff>0</xdr:rowOff>
    </xdr:from>
    <xdr:to>
      <xdr:col>8</xdr:col>
      <xdr:colOff>314325</xdr:colOff>
      <xdr:row>168</xdr:row>
      <xdr:rowOff>0</xdr:rowOff>
    </xdr:to>
    <xdr:sp>
      <xdr:nvSpPr>
        <xdr:cNvPr id="68" name="Rectangle 116"/>
        <xdr:cNvSpPr>
          <a:spLocks/>
        </xdr:cNvSpPr>
      </xdr:nvSpPr>
      <xdr:spPr>
        <a:xfrm>
          <a:off x="3819525" y="300513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168</xdr:row>
      <xdr:rowOff>0</xdr:rowOff>
    </xdr:from>
    <xdr:to>
      <xdr:col>10</xdr:col>
      <xdr:colOff>314325</xdr:colOff>
      <xdr:row>168</xdr:row>
      <xdr:rowOff>0</xdr:rowOff>
    </xdr:to>
    <xdr:sp>
      <xdr:nvSpPr>
        <xdr:cNvPr id="69" name="Rectangle 117"/>
        <xdr:cNvSpPr>
          <a:spLocks/>
        </xdr:cNvSpPr>
      </xdr:nvSpPr>
      <xdr:spPr>
        <a:xfrm>
          <a:off x="4819650" y="300513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168</xdr:row>
      <xdr:rowOff>0</xdr:rowOff>
    </xdr:from>
    <xdr:to>
      <xdr:col>12</xdr:col>
      <xdr:colOff>314325</xdr:colOff>
      <xdr:row>168</xdr:row>
      <xdr:rowOff>0</xdr:rowOff>
    </xdr:to>
    <xdr:sp>
      <xdr:nvSpPr>
        <xdr:cNvPr id="70" name="Rectangle 118"/>
        <xdr:cNvSpPr>
          <a:spLocks/>
        </xdr:cNvSpPr>
      </xdr:nvSpPr>
      <xdr:spPr>
        <a:xfrm>
          <a:off x="5791200" y="300513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168</xdr:row>
      <xdr:rowOff>0</xdr:rowOff>
    </xdr:from>
    <xdr:to>
      <xdr:col>14</xdr:col>
      <xdr:colOff>314325</xdr:colOff>
      <xdr:row>168</xdr:row>
      <xdr:rowOff>0</xdr:rowOff>
    </xdr:to>
    <xdr:sp>
      <xdr:nvSpPr>
        <xdr:cNvPr id="71" name="Rectangle 119"/>
        <xdr:cNvSpPr>
          <a:spLocks/>
        </xdr:cNvSpPr>
      </xdr:nvSpPr>
      <xdr:spPr>
        <a:xfrm>
          <a:off x="6686550" y="300513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168</xdr:row>
      <xdr:rowOff>0</xdr:rowOff>
    </xdr:from>
    <xdr:to>
      <xdr:col>16</xdr:col>
      <xdr:colOff>314325</xdr:colOff>
      <xdr:row>168</xdr:row>
      <xdr:rowOff>0</xdr:rowOff>
    </xdr:to>
    <xdr:sp>
      <xdr:nvSpPr>
        <xdr:cNvPr id="72" name="Rectangle 120"/>
        <xdr:cNvSpPr>
          <a:spLocks/>
        </xdr:cNvSpPr>
      </xdr:nvSpPr>
      <xdr:spPr>
        <a:xfrm>
          <a:off x="7629525" y="300513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263</xdr:row>
      <xdr:rowOff>0</xdr:rowOff>
    </xdr:from>
    <xdr:to>
      <xdr:col>8</xdr:col>
      <xdr:colOff>314325</xdr:colOff>
      <xdr:row>263</xdr:row>
      <xdr:rowOff>0</xdr:rowOff>
    </xdr:to>
    <xdr:sp>
      <xdr:nvSpPr>
        <xdr:cNvPr id="73" name="Rectangle 122"/>
        <xdr:cNvSpPr>
          <a:spLocks/>
        </xdr:cNvSpPr>
      </xdr:nvSpPr>
      <xdr:spPr>
        <a:xfrm>
          <a:off x="3819525" y="47977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263</xdr:row>
      <xdr:rowOff>0</xdr:rowOff>
    </xdr:from>
    <xdr:to>
      <xdr:col>10</xdr:col>
      <xdr:colOff>314325</xdr:colOff>
      <xdr:row>263</xdr:row>
      <xdr:rowOff>0</xdr:rowOff>
    </xdr:to>
    <xdr:sp>
      <xdr:nvSpPr>
        <xdr:cNvPr id="74" name="Rectangle 123"/>
        <xdr:cNvSpPr>
          <a:spLocks/>
        </xdr:cNvSpPr>
      </xdr:nvSpPr>
      <xdr:spPr>
        <a:xfrm>
          <a:off x="4819650" y="47977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38100</xdr:colOff>
      <xdr:row>263</xdr:row>
      <xdr:rowOff>0</xdr:rowOff>
    </xdr:from>
    <xdr:to>
      <xdr:col>12</xdr:col>
      <xdr:colOff>314325</xdr:colOff>
      <xdr:row>263</xdr:row>
      <xdr:rowOff>0</xdr:rowOff>
    </xdr:to>
    <xdr:sp>
      <xdr:nvSpPr>
        <xdr:cNvPr id="75" name="Rectangle 124"/>
        <xdr:cNvSpPr>
          <a:spLocks/>
        </xdr:cNvSpPr>
      </xdr:nvSpPr>
      <xdr:spPr>
        <a:xfrm>
          <a:off x="5791200" y="47977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19050</xdr:colOff>
      <xdr:row>263</xdr:row>
      <xdr:rowOff>0</xdr:rowOff>
    </xdr:from>
    <xdr:to>
      <xdr:col>14</xdr:col>
      <xdr:colOff>314325</xdr:colOff>
      <xdr:row>263</xdr:row>
      <xdr:rowOff>0</xdr:rowOff>
    </xdr:to>
    <xdr:sp>
      <xdr:nvSpPr>
        <xdr:cNvPr id="76" name="Rectangle 125"/>
        <xdr:cNvSpPr>
          <a:spLocks/>
        </xdr:cNvSpPr>
      </xdr:nvSpPr>
      <xdr:spPr>
        <a:xfrm>
          <a:off x="6686550" y="47977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174</xdr:row>
      <xdr:rowOff>0</xdr:rowOff>
    </xdr:from>
    <xdr:to>
      <xdr:col>10</xdr:col>
      <xdr:colOff>314325</xdr:colOff>
      <xdr:row>174</xdr:row>
      <xdr:rowOff>0</xdr:rowOff>
    </xdr:to>
    <xdr:sp>
      <xdr:nvSpPr>
        <xdr:cNvPr id="77" name="Rectangle 126"/>
        <xdr:cNvSpPr>
          <a:spLocks/>
        </xdr:cNvSpPr>
      </xdr:nvSpPr>
      <xdr:spPr>
        <a:xfrm>
          <a:off x="4838700" y="30737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174</xdr:row>
      <xdr:rowOff>0</xdr:rowOff>
    </xdr:from>
    <xdr:to>
      <xdr:col>12</xdr:col>
      <xdr:colOff>314325</xdr:colOff>
      <xdr:row>174</xdr:row>
      <xdr:rowOff>0</xdr:rowOff>
    </xdr:to>
    <xdr:sp>
      <xdr:nvSpPr>
        <xdr:cNvPr id="78" name="Rectangle 127"/>
        <xdr:cNvSpPr>
          <a:spLocks/>
        </xdr:cNvSpPr>
      </xdr:nvSpPr>
      <xdr:spPr>
        <a:xfrm>
          <a:off x="5772150" y="307371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174</xdr:row>
      <xdr:rowOff>0</xdr:rowOff>
    </xdr:from>
    <xdr:to>
      <xdr:col>14</xdr:col>
      <xdr:colOff>314325</xdr:colOff>
      <xdr:row>174</xdr:row>
      <xdr:rowOff>0</xdr:rowOff>
    </xdr:to>
    <xdr:sp>
      <xdr:nvSpPr>
        <xdr:cNvPr id="79" name="Rectangle 128"/>
        <xdr:cNvSpPr>
          <a:spLocks/>
        </xdr:cNvSpPr>
      </xdr:nvSpPr>
      <xdr:spPr>
        <a:xfrm>
          <a:off x="6705600" y="30737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174</xdr:row>
      <xdr:rowOff>0</xdr:rowOff>
    </xdr:from>
    <xdr:to>
      <xdr:col>16</xdr:col>
      <xdr:colOff>314325</xdr:colOff>
      <xdr:row>174</xdr:row>
      <xdr:rowOff>0</xdr:rowOff>
    </xdr:to>
    <xdr:sp>
      <xdr:nvSpPr>
        <xdr:cNvPr id="80" name="Rectangle 129"/>
        <xdr:cNvSpPr>
          <a:spLocks/>
        </xdr:cNvSpPr>
      </xdr:nvSpPr>
      <xdr:spPr>
        <a:xfrm>
          <a:off x="7629525" y="307371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174</xdr:row>
      <xdr:rowOff>0</xdr:rowOff>
    </xdr:from>
    <xdr:to>
      <xdr:col>18</xdr:col>
      <xdr:colOff>314325</xdr:colOff>
      <xdr:row>174</xdr:row>
      <xdr:rowOff>0</xdr:rowOff>
    </xdr:to>
    <xdr:sp>
      <xdr:nvSpPr>
        <xdr:cNvPr id="81" name="Rectangle 130"/>
        <xdr:cNvSpPr>
          <a:spLocks/>
        </xdr:cNvSpPr>
      </xdr:nvSpPr>
      <xdr:spPr>
        <a:xfrm>
          <a:off x="8591550" y="307371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167</xdr:row>
      <xdr:rowOff>0</xdr:rowOff>
    </xdr:from>
    <xdr:to>
      <xdr:col>10</xdr:col>
      <xdr:colOff>314325</xdr:colOff>
      <xdr:row>167</xdr:row>
      <xdr:rowOff>0</xdr:rowOff>
    </xdr:to>
    <xdr:sp>
      <xdr:nvSpPr>
        <xdr:cNvPr id="82" name="Rectangle 132"/>
        <xdr:cNvSpPr>
          <a:spLocks/>
        </xdr:cNvSpPr>
      </xdr:nvSpPr>
      <xdr:spPr>
        <a:xfrm>
          <a:off x="4838700" y="300513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167</xdr:row>
      <xdr:rowOff>0</xdr:rowOff>
    </xdr:from>
    <xdr:to>
      <xdr:col>12</xdr:col>
      <xdr:colOff>314325</xdr:colOff>
      <xdr:row>167</xdr:row>
      <xdr:rowOff>0</xdr:rowOff>
    </xdr:to>
    <xdr:sp>
      <xdr:nvSpPr>
        <xdr:cNvPr id="83" name="Rectangle 133"/>
        <xdr:cNvSpPr>
          <a:spLocks/>
        </xdr:cNvSpPr>
      </xdr:nvSpPr>
      <xdr:spPr>
        <a:xfrm>
          <a:off x="5772150" y="300513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167</xdr:row>
      <xdr:rowOff>0</xdr:rowOff>
    </xdr:from>
    <xdr:to>
      <xdr:col>14</xdr:col>
      <xdr:colOff>314325</xdr:colOff>
      <xdr:row>167</xdr:row>
      <xdr:rowOff>0</xdr:rowOff>
    </xdr:to>
    <xdr:sp>
      <xdr:nvSpPr>
        <xdr:cNvPr id="84" name="Rectangle 134"/>
        <xdr:cNvSpPr>
          <a:spLocks/>
        </xdr:cNvSpPr>
      </xdr:nvSpPr>
      <xdr:spPr>
        <a:xfrm>
          <a:off x="6705600" y="300513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167</xdr:row>
      <xdr:rowOff>0</xdr:rowOff>
    </xdr:from>
    <xdr:to>
      <xdr:col>16</xdr:col>
      <xdr:colOff>314325</xdr:colOff>
      <xdr:row>167</xdr:row>
      <xdr:rowOff>0</xdr:rowOff>
    </xdr:to>
    <xdr:sp>
      <xdr:nvSpPr>
        <xdr:cNvPr id="85" name="Rectangle 135"/>
        <xdr:cNvSpPr>
          <a:spLocks/>
        </xdr:cNvSpPr>
      </xdr:nvSpPr>
      <xdr:spPr>
        <a:xfrm>
          <a:off x="7629525" y="300513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167</xdr:row>
      <xdr:rowOff>0</xdr:rowOff>
    </xdr:from>
    <xdr:to>
      <xdr:col>18</xdr:col>
      <xdr:colOff>314325</xdr:colOff>
      <xdr:row>167</xdr:row>
      <xdr:rowOff>0</xdr:rowOff>
    </xdr:to>
    <xdr:sp>
      <xdr:nvSpPr>
        <xdr:cNvPr id="86" name="Rectangle 136"/>
        <xdr:cNvSpPr>
          <a:spLocks/>
        </xdr:cNvSpPr>
      </xdr:nvSpPr>
      <xdr:spPr>
        <a:xfrm>
          <a:off x="8591550" y="300513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142875</xdr:colOff>
      <xdr:row>49</xdr:row>
      <xdr:rowOff>9525</xdr:rowOff>
    </xdr:from>
    <xdr:to>
      <xdr:col>12</xdr:col>
      <xdr:colOff>428625</xdr:colOff>
      <xdr:row>50</xdr:row>
      <xdr:rowOff>9525</xdr:rowOff>
    </xdr:to>
    <xdr:sp>
      <xdr:nvSpPr>
        <xdr:cNvPr id="87" name="Rectangle 138"/>
        <xdr:cNvSpPr>
          <a:spLocks/>
        </xdr:cNvSpPr>
      </xdr:nvSpPr>
      <xdr:spPr>
        <a:xfrm>
          <a:off x="5895975" y="9839325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263</xdr:row>
      <xdr:rowOff>0</xdr:rowOff>
    </xdr:from>
    <xdr:to>
      <xdr:col>10</xdr:col>
      <xdr:colOff>314325</xdr:colOff>
      <xdr:row>263</xdr:row>
      <xdr:rowOff>0</xdr:rowOff>
    </xdr:to>
    <xdr:sp>
      <xdr:nvSpPr>
        <xdr:cNvPr id="88" name="Rectangle 139"/>
        <xdr:cNvSpPr>
          <a:spLocks/>
        </xdr:cNvSpPr>
      </xdr:nvSpPr>
      <xdr:spPr>
        <a:xfrm>
          <a:off x="4838700" y="47977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263</xdr:row>
      <xdr:rowOff>0</xdr:rowOff>
    </xdr:from>
    <xdr:to>
      <xdr:col>12</xdr:col>
      <xdr:colOff>314325</xdr:colOff>
      <xdr:row>263</xdr:row>
      <xdr:rowOff>0</xdr:rowOff>
    </xdr:to>
    <xdr:sp>
      <xdr:nvSpPr>
        <xdr:cNvPr id="89" name="Rectangle 140"/>
        <xdr:cNvSpPr>
          <a:spLocks/>
        </xdr:cNvSpPr>
      </xdr:nvSpPr>
      <xdr:spPr>
        <a:xfrm>
          <a:off x="5772150" y="47977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263</xdr:row>
      <xdr:rowOff>0</xdr:rowOff>
    </xdr:from>
    <xdr:to>
      <xdr:col>14</xdr:col>
      <xdr:colOff>314325</xdr:colOff>
      <xdr:row>263</xdr:row>
      <xdr:rowOff>0</xdr:rowOff>
    </xdr:to>
    <xdr:sp>
      <xdr:nvSpPr>
        <xdr:cNvPr id="90" name="Rectangle 141"/>
        <xdr:cNvSpPr>
          <a:spLocks/>
        </xdr:cNvSpPr>
      </xdr:nvSpPr>
      <xdr:spPr>
        <a:xfrm>
          <a:off x="6705600" y="47977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263</xdr:row>
      <xdr:rowOff>0</xdr:rowOff>
    </xdr:from>
    <xdr:to>
      <xdr:col>16</xdr:col>
      <xdr:colOff>314325</xdr:colOff>
      <xdr:row>263</xdr:row>
      <xdr:rowOff>0</xdr:rowOff>
    </xdr:to>
    <xdr:sp>
      <xdr:nvSpPr>
        <xdr:cNvPr id="91" name="Rectangle 142"/>
        <xdr:cNvSpPr>
          <a:spLocks/>
        </xdr:cNvSpPr>
      </xdr:nvSpPr>
      <xdr:spPr>
        <a:xfrm>
          <a:off x="7629525" y="47977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263</xdr:row>
      <xdr:rowOff>0</xdr:rowOff>
    </xdr:from>
    <xdr:to>
      <xdr:col>18</xdr:col>
      <xdr:colOff>314325</xdr:colOff>
      <xdr:row>263</xdr:row>
      <xdr:rowOff>0</xdr:rowOff>
    </xdr:to>
    <xdr:sp>
      <xdr:nvSpPr>
        <xdr:cNvPr id="92" name="Rectangle 143"/>
        <xdr:cNvSpPr>
          <a:spLocks/>
        </xdr:cNvSpPr>
      </xdr:nvSpPr>
      <xdr:spPr>
        <a:xfrm>
          <a:off x="8591550" y="47977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104775</xdr:colOff>
      <xdr:row>49</xdr:row>
      <xdr:rowOff>9525</xdr:rowOff>
    </xdr:from>
    <xdr:to>
      <xdr:col>8</xdr:col>
      <xdr:colOff>419100</xdr:colOff>
      <xdr:row>49</xdr:row>
      <xdr:rowOff>200025</xdr:rowOff>
    </xdr:to>
    <xdr:sp>
      <xdr:nvSpPr>
        <xdr:cNvPr id="93" name="Rectangle 144"/>
        <xdr:cNvSpPr>
          <a:spLocks/>
        </xdr:cNvSpPr>
      </xdr:nvSpPr>
      <xdr:spPr>
        <a:xfrm>
          <a:off x="3886200" y="9839325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66675</xdr:colOff>
      <xdr:row>49</xdr:row>
      <xdr:rowOff>9525</xdr:rowOff>
    </xdr:from>
    <xdr:to>
      <xdr:col>10</xdr:col>
      <xdr:colOff>361950</xdr:colOff>
      <xdr:row>50</xdr:row>
      <xdr:rowOff>0</xdr:rowOff>
    </xdr:to>
    <xdr:sp>
      <xdr:nvSpPr>
        <xdr:cNvPr id="94" name="Rectangle 145"/>
        <xdr:cNvSpPr>
          <a:spLocks/>
        </xdr:cNvSpPr>
      </xdr:nvSpPr>
      <xdr:spPr>
        <a:xfrm>
          <a:off x="4867275" y="9839325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142875</xdr:colOff>
      <xdr:row>49</xdr:row>
      <xdr:rowOff>9525</xdr:rowOff>
    </xdr:from>
    <xdr:to>
      <xdr:col>14</xdr:col>
      <xdr:colOff>447675</xdr:colOff>
      <xdr:row>49</xdr:row>
      <xdr:rowOff>209550</xdr:rowOff>
    </xdr:to>
    <xdr:sp>
      <xdr:nvSpPr>
        <xdr:cNvPr id="95" name="Rectangle 147"/>
        <xdr:cNvSpPr>
          <a:spLocks/>
        </xdr:cNvSpPr>
      </xdr:nvSpPr>
      <xdr:spPr>
        <a:xfrm>
          <a:off x="6810375" y="983932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152400</xdr:colOff>
      <xdr:row>49</xdr:row>
      <xdr:rowOff>9525</xdr:rowOff>
    </xdr:from>
    <xdr:to>
      <xdr:col>16</xdr:col>
      <xdr:colOff>457200</xdr:colOff>
      <xdr:row>49</xdr:row>
      <xdr:rowOff>200025</xdr:rowOff>
    </xdr:to>
    <xdr:sp>
      <xdr:nvSpPr>
        <xdr:cNvPr id="96" name="Rectangle 148"/>
        <xdr:cNvSpPr>
          <a:spLocks/>
        </xdr:cNvSpPr>
      </xdr:nvSpPr>
      <xdr:spPr>
        <a:xfrm>
          <a:off x="7762875" y="98393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49</xdr:row>
      <xdr:rowOff>209550</xdr:rowOff>
    </xdr:to>
    <xdr:sp>
      <xdr:nvSpPr>
        <xdr:cNvPr id="97" name="Rectangle 149"/>
        <xdr:cNvSpPr>
          <a:spLocks/>
        </xdr:cNvSpPr>
      </xdr:nvSpPr>
      <xdr:spPr>
        <a:xfrm>
          <a:off x="9715500" y="9839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38100</xdr:colOff>
      <xdr:row>188</xdr:row>
      <xdr:rowOff>0</xdr:rowOff>
    </xdr:from>
    <xdr:to>
      <xdr:col>10</xdr:col>
      <xdr:colOff>314325</xdr:colOff>
      <xdr:row>188</xdr:row>
      <xdr:rowOff>0</xdr:rowOff>
    </xdr:to>
    <xdr:sp>
      <xdr:nvSpPr>
        <xdr:cNvPr id="98" name="Rectangle 150"/>
        <xdr:cNvSpPr>
          <a:spLocks/>
        </xdr:cNvSpPr>
      </xdr:nvSpPr>
      <xdr:spPr>
        <a:xfrm>
          <a:off x="4838700" y="333851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19050</xdr:colOff>
      <xdr:row>188</xdr:row>
      <xdr:rowOff>0</xdr:rowOff>
    </xdr:from>
    <xdr:to>
      <xdr:col>12</xdr:col>
      <xdr:colOff>314325</xdr:colOff>
      <xdr:row>188</xdr:row>
      <xdr:rowOff>0</xdr:rowOff>
    </xdr:to>
    <xdr:sp>
      <xdr:nvSpPr>
        <xdr:cNvPr id="99" name="Rectangle 151"/>
        <xdr:cNvSpPr>
          <a:spLocks/>
        </xdr:cNvSpPr>
      </xdr:nvSpPr>
      <xdr:spPr>
        <a:xfrm>
          <a:off x="5772150" y="333851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38100</xdr:colOff>
      <xdr:row>188</xdr:row>
      <xdr:rowOff>0</xdr:rowOff>
    </xdr:from>
    <xdr:to>
      <xdr:col>14</xdr:col>
      <xdr:colOff>314325</xdr:colOff>
      <xdr:row>188</xdr:row>
      <xdr:rowOff>0</xdr:rowOff>
    </xdr:to>
    <xdr:sp>
      <xdr:nvSpPr>
        <xdr:cNvPr id="100" name="Rectangle 152"/>
        <xdr:cNvSpPr>
          <a:spLocks/>
        </xdr:cNvSpPr>
      </xdr:nvSpPr>
      <xdr:spPr>
        <a:xfrm>
          <a:off x="6705600" y="333851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16</xdr:col>
      <xdr:colOff>19050</xdr:colOff>
      <xdr:row>188</xdr:row>
      <xdr:rowOff>0</xdr:rowOff>
    </xdr:from>
    <xdr:to>
      <xdr:col>16</xdr:col>
      <xdr:colOff>314325</xdr:colOff>
      <xdr:row>188</xdr:row>
      <xdr:rowOff>0</xdr:rowOff>
    </xdr:to>
    <xdr:sp>
      <xdr:nvSpPr>
        <xdr:cNvPr id="101" name="Rectangle 153"/>
        <xdr:cNvSpPr>
          <a:spLocks/>
        </xdr:cNvSpPr>
      </xdr:nvSpPr>
      <xdr:spPr>
        <a:xfrm>
          <a:off x="7629525" y="333851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18</xdr:col>
      <xdr:colOff>19050</xdr:colOff>
      <xdr:row>188</xdr:row>
      <xdr:rowOff>0</xdr:rowOff>
    </xdr:from>
    <xdr:to>
      <xdr:col>18</xdr:col>
      <xdr:colOff>314325</xdr:colOff>
      <xdr:row>188</xdr:row>
      <xdr:rowOff>0</xdr:rowOff>
    </xdr:to>
    <xdr:sp>
      <xdr:nvSpPr>
        <xdr:cNvPr id="102" name="Rectangle 154"/>
        <xdr:cNvSpPr>
          <a:spLocks/>
        </xdr:cNvSpPr>
      </xdr:nvSpPr>
      <xdr:spPr>
        <a:xfrm>
          <a:off x="8591550" y="333851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49</xdr:row>
      <xdr:rowOff>209550</xdr:rowOff>
    </xdr:to>
    <xdr:sp>
      <xdr:nvSpPr>
        <xdr:cNvPr id="103" name="Rectangle 155"/>
        <xdr:cNvSpPr>
          <a:spLocks/>
        </xdr:cNvSpPr>
      </xdr:nvSpPr>
      <xdr:spPr>
        <a:xfrm>
          <a:off x="9715500" y="9839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50</xdr:row>
      <xdr:rowOff>9525</xdr:rowOff>
    </xdr:to>
    <xdr:sp>
      <xdr:nvSpPr>
        <xdr:cNvPr id="104" name="Rectangle 156"/>
        <xdr:cNvSpPr>
          <a:spLocks/>
        </xdr:cNvSpPr>
      </xdr:nvSpPr>
      <xdr:spPr>
        <a:xfrm>
          <a:off x="9715500" y="98393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19</xdr:col>
      <xdr:colOff>0</xdr:colOff>
      <xdr:row>49</xdr:row>
      <xdr:rowOff>9525</xdr:rowOff>
    </xdr:from>
    <xdr:to>
      <xdr:col>19</xdr:col>
      <xdr:colOff>0</xdr:colOff>
      <xdr:row>49</xdr:row>
      <xdr:rowOff>209550</xdr:rowOff>
    </xdr:to>
    <xdr:sp>
      <xdr:nvSpPr>
        <xdr:cNvPr id="105" name="Rectangle 157"/>
        <xdr:cNvSpPr>
          <a:spLocks/>
        </xdr:cNvSpPr>
      </xdr:nvSpPr>
      <xdr:spPr>
        <a:xfrm>
          <a:off x="9715500" y="9839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123825</xdr:colOff>
      <xdr:row>234</xdr:row>
      <xdr:rowOff>0</xdr:rowOff>
    </xdr:from>
    <xdr:to>
      <xdr:col>8</xdr:col>
      <xdr:colOff>400050</xdr:colOff>
      <xdr:row>235</xdr:row>
      <xdr:rowOff>19050</xdr:rowOff>
    </xdr:to>
    <xdr:sp>
      <xdr:nvSpPr>
        <xdr:cNvPr id="106" name="Rectangle 163"/>
        <xdr:cNvSpPr>
          <a:spLocks/>
        </xdr:cNvSpPr>
      </xdr:nvSpPr>
      <xdr:spPr>
        <a:xfrm>
          <a:off x="3905250" y="4254817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234</xdr:row>
      <xdr:rowOff>0</xdr:rowOff>
    </xdr:from>
    <xdr:to>
      <xdr:col>10</xdr:col>
      <xdr:colOff>409575</xdr:colOff>
      <xdr:row>235</xdr:row>
      <xdr:rowOff>19050</xdr:rowOff>
    </xdr:to>
    <xdr:sp>
      <xdr:nvSpPr>
        <xdr:cNvPr id="107" name="Rectangle 164"/>
        <xdr:cNvSpPr>
          <a:spLocks/>
        </xdr:cNvSpPr>
      </xdr:nvSpPr>
      <xdr:spPr>
        <a:xfrm>
          <a:off x="4886325" y="42548175"/>
          <a:ext cx="323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234</xdr:row>
      <xdr:rowOff>0</xdr:rowOff>
    </xdr:from>
    <xdr:to>
      <xdr:col>8</xdr:col>
      <xdr:colOff>381000</xdr:colOff>
      <xdr:row>235</xdr:row>
      <xdr:rowOff>19050</xdr:rowOff>
    </xdr:to>
    <xdr:sp>
      <xdr:nvSpPr>
        <xdr:cNvPr id="108" name="Rectangle 165"/>
        <xdr:cNvSpPr>
          <a:spLocks/>
        </xdr:cNvSpPr>
      </xdr:nvSpPr>
      <xdr:spPr>
        <a:xfrm>
          <a:off x="3819525" y="4254817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19</xdr:col>
      <xdr:colOff>0</xdr:colOff>
      <xdr:row>69</xdr:row>
      <xdr:rowOff>47625</xdr:rowOff>
    </xdr:from>
    <xdr:to>
      <xdr:col>19</xdr:col>
      <xdr:colOff>0</xdr:colOff>
      <xdr:row>69</xdr:row>
      <xdr:rowOff>123825</xdr:rowOff>
    </xdr:to>
    <xdr:sp>
      <xdr:nvSpPr>
        <xdr:cNvPr id="109" name="AutoShape 169"/>
        <xdr:cNvSpPr>
          <a:spLocks/>
        </xdr:cNvSpPr>
      </xdr:nvSpPr>
      <xdr:spPr>
        <a:xfrm>
          <a:off x="9715500" y="14011275"/>
          <a:ext cx="0" cy="7620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438150</xdr:colOff>
      <xdr:row>11</xdr:row>
      <xdr:rowOff>57150</xdr:rowOff>
    </xdr:from>
    <xdr:to>
      <xdr:col>10</xdr:col>
      <xdr:colOff>542925</xdr:colOff>
      <xdr:row>11</xdr:row>
      <xdr:rowOff>171450</xdr:rowOff>
    </xdr:to>
    <xdr:sp>
      <xdr:nvSpPr>
        <xdr:cNvPr id="110" name="AutoShape 170"/>
        <xdr:cNvSpPr>
          <a:spLocks/>
        </xdr:cNvSpPr>
      </xdr:nvSpPr>
      <xdr:spPr>
        <a:xfrm flipV="1">
          <a:off x="5238750" y="1743075"/>
          <a:ext cx="104775" cy="11430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190500</xdr:colOff>
      <xdr:row>56</xdr:row>
      <xdr:rowOff>85725</xdr:rowOff>
    </xdr:from>
    <xdr:to>
      <xdr:col>0</xdr:col>
      <xdr:colOff>295275</xdr:colOff>
      <xdr:row>56</xdr:row>
      <xdr:rowOff>200025</xdr:rowOff>
    </xdr:to>
    <xdr:sp>
      <xdr:nvSpPr>
        <xdr:cNvPr id="111" name="AutoShape 171"/>
        <xdr:cNvSpPr>
          <a:spLocks/>
        </xdr:cNvSpPr>
      </xdr:nvSpPr>
      <xdr:spPr>
        <a:xfrm flipV="1">
          <a:off x="190500" y="11449050"/>
          <a:ext cx="104775" cy="11430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123825</xdr:colOff>
      <xdr:row>234</xdr:row>
      <xdr:rowOff>0</xdr:rowOff>
    </xdr:from>
    <xdr:to>
      <xdr:col>8</xdr:col>
      <xdr:colOff>400050</xdr:colOff>
      <xdr:row>235</xdr:row>
      <xdr:rowOff>19050</xdr:rowOff>
    </xdr:to>
    <xdr:sp>
      <xdr:nvSpPr>
        <xdr:cNvPr id="112" name="Rectangle 172"/>
        <xdr:cNvSpPr>
          <a:spLocks/>
        </xdr:cNvSpPr>
      </xdr:nvSpPr>
      <xdr:spPr>
        <a:xfrm>
          <a:off x="3905250" y="4254817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234</xdr:row>
      <xdr:rowOff>0</xdr:rowOff>
    </xdr:from>
    <xdr:to>
      <xdr:col>8</xdr:col>
      <xdr:colOff>381000</xdr:colOff>
      <xdr:row>235</xdr:row>
      <xdr:rowOff>19050</xdr:rowOff>
    </xdr:to>
    <xdr:sp>
      <xdr:nvSpPr>
        <xdr:cNvPr id="113" name="Rectangle 173"/>
        <xdr:cNvSpPr>
          <a:spLocks/>
        </xdr:cNvSpPr>
      </xdr:nvSpPr>
      <xdr:spPr>
        <a:xfrm>
          <a:off x="3819525" y="4254817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8</xdr:col>
      <xdr:colOff>123825</xdr:colOff>
      <xdr:row>234</xdr:row>
      <xdr:rowOff>0</xdr:rowOff>
    </xdr:from>
    <xdr:to>
      <xdr:col>8</xdr:col>
      <xdr:colOff>400050</xdr:colOff>
      <xdr:row>235</xdr:row>
      <xdr:rowOff>19050</xdr:rowOff>
    </xdr:to>
    <xdr:sp>
      <xdr:nvSpPr>
        <xdr:cNvPr id="114" name="Rectangle 174"/>
        <xdr:cNvSpPr>
          <a:spLocks/>
        </xdr:cNvSpPr>
      </xdr:nvSpPr>
      <xdr:spPr>
        <a:xfrm>
          <a:off x="3905250" y="4254817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234</xdr:row>
      <xdr:rowOff>0</xdr:rowOff>
    </xdr:from>
    <xdr:to>
      <xdr:col>8</xdr:col>
      <xdr:colOff>381000</xdr:colOff>
      <xdr:row>235</xdr:row>
      <xdr:rowOff>19050</xdr:rowOff>
    </xdr:to>
    <xdr:sp>
      <xdr:nvSpPr>
        <xdr:cNvPr id="115" name="Rectangle 175"/>
        <xdr:cNvSpPr>
          <a:spLocks/>
        </xdr:cNvSpPr>
      </xdr:nvSpPr>
      <xdr:spPr>
        <a:xfrm>
          <a:off x="3819525" y="4254817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  <xdr:twoCellAnchor>
    <xdr:from>
      <xdr:col>0</xdr:col>
      <xdr:colOff>190500</xdr:colOff>
      <xdr:row>110</xdr:row>
      <xdr:rowOff>85725</xdr:rowOff>
    </xdr:from>
    <xdr:to>
      <xdr:col>0</xdr:col>
      <xdr:colOff>295275</xdr:colOff>
      <xdr:row>110</xdr:row>
      <xdr:rowOff>190500</xdr:rowOff>
    </xdr:to>
    <xdr:sp>
      <xdr:nvSpPr>
        <xdr:cNvPr id="116" name="AutoShape 177"/>
        <xdr:cNvSpPr>
          <a:spLocks/>
        </xdr:cNvSpPr>
      </xdr:nvSpPr>
      <xdr:spPr>
        <a:xfrm flipV="1">
          <a:off x="190500" y="21116925"/>
          <a:ext cx="104775" cy="104775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10</xdr:col>
      <xdr:colOff>438150</xdr:colOff>
      <xdr:row>65</xdr:row>
      <xdr:rowOff>57150</xdr:rowOff>
    </xdr:from>
    <xdr:to>
      <xdr:col>10</xdr:col>
      <xdr:colOff>542925</xdr:colOff>
      <xdr:row>65</xdr:row>
      <xdr:rowOff>171450</xdr:rowOff>
    </xdr:to>
    <xdr:sp>
      <xdr:nvSpPr>
        <xdr:cNvPr id="117" name="AutoShape 178"/>
        <xdr:cNvSpPr>
          <a:spLocks/>
        </xdr:cNvSpPr>
      </xdr:nvSpPr>
      <xdr:spPr>
        <a:xfrm flipV="1">
          <a:off x="5238750" y="13258800"/>
          <a:ext cx="104775" cy="114300"/>
        </a:xfrm>
        <a:prstGeom prst="star5">
          <a:avLst/>
        </a:prstGeom>
        <a:solidFill>
          <a:srgbClr val="00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123825</xdr:colOff>
      <xdr:row>234</xdr:row>
      <xdr:rowOff>0</xdr:rowOff>
    </xdr:from>
    <xdr:to>
      <xdr:col>8</xdr:col>
      <xdr:colOff>400050</xdr:colOff>
      <xdr:row>235</xdr:row>
      <xdr:rowOff>19050</xdr:rowOff>
    </xdr:to>
    <xdr:sp>
      <xdr:nvSpPr>
        <xdr:cNvPr id="118" name="Rectangle 179"/>
        <xdr:cNvSpPr>
          <a:spLocks/>
        </xdr:cNvSpPr>
      </xdr:nvSpPr>
      <xdr:spPr>
        <a:xfrm>
          <a:off x="3905250" y="4254817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85725</xdr:colOff>
      <xdr:row>234</xdr:row>
      <xdr:rowOff>0</xdr:rowOff>
    </xdr:from>
    <xdr:to>
      <xdr:col>10</xdr:col>
      <xdr:colOff>409575</xdr:colOff>
      <xdr:row>235</xdr:row>
      <xdr:rowOff>19050</xdr:rowOff>
    </xdr:to>
    <xdr:sp>
      <xdr:nvSpPr>
        <xdr:cNvPr id="119" name="Rectangle 180"/>
        <xdr:cNvSpPr>
          <a:spLocks/>
        </xdr:cNvSpPr>
      </xdr:nvSpPr>
      <xdr:spPr>
        <a:xfrm>
          <a:off x="4886325" y="42548175"/>
          <a:ext cx="323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38100</xdr:colOff>
      <xdr:row>234</xdr:row>
      <xdr:rowOff>0</xdr:rowOff>
    </xdr:from>
    <xdr:to>
      <xdr:col>8</xdr:col>
      <xdr:colOff>381000</xdr:colOff>
      <xdr:row>235</xdr:row>
      <xdr:rowOff>19050</xdr:rowOff>
    </xdr:to>
    <xdr:sp>
      <xdr:nvSpPr>
        <xdr:cNvPr id="120" name="Rectangle 181"/>
        <xdr:cNvSpPr>
          <a:spLocks/>
        </xdr:cNvSpPr>
      </xdr:nvSpPr>
      <xdr:spPr>
        <a:xfrm>
          <a:off x="3819525" y="4254817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37</xdr:row>
      <xdr:rowOff>9525</xdr:rowOff>
    </xdr:from>
    <xdr:to>
      <xdr:col>4</xdr:col>
      <xdr:colOff>466725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62425" y="7896225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952875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19050</xdr:colOff>
      <xdr:row>44</xdr:row>
      <xdr:rowOff>0</xdr:rowOff>
    </xdr:from>
    <xdr:to>
      <xdr:col>4</xdr:col>
      <xdr:colOff>314325</xdr:colOff>
      <xdr:row>44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1002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44</xdr:row>
      <xdr:rowOff>0</xdr:rowOff>
    </xdr:from>
    <xdr:to>
      <xdr:col>6</xdr:col>
      <xdr:colOff>314325</xdr:colOff>
      <xdr:row>44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943475" y="8734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44</xdr:row>
      <xdr:rowOff>0</xdr:rowOff>
    </xdr:from>
    <xdr:to>
      <xdr:col>8</xdr:col>
      <xdr:colOff>314325</xdr:colOff>
      <xdr:row>44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848350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44</xdr:row>
      <xdr:rowOff>0</xdr:rowOff>
    </xdr:from>
    <xdr:to>
      <xdr:col>10</xdr:col>
      <xdr:colOff>314325</xdr:colOff>
      <xdr:row>44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73417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37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3952875" y="78962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3952875" y="78962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23</xdr:col>
      <xdr:colOff>504825</xdr:colOff>
      <xdr:row>41</xdr:row>
      <xdr:rowOff>171450</xdr:rowOff>
    </xdr:from>
    <xdr:to>
      <xdr:col>24</xdr:col>
      <xdr:colOff>133350</xdr:colOff>
      <xdr:row>43</xdr:row>
      <xdr:rowOff>28575</xdr:rowOff>
    </xdr:to>
    <xdr:sp>
      <xdr:nvSpPr>
        <xdr:cNvPr id="9" name="Rectangle 9"/>
        <xdr:cNvSpPr>
          <a:spLocks/>
        </xdr:cNvSpPr>
      </xdr:nvSpPr>
      <xdr:spPr>
        <a:xfrm flipH="1">
          <a:off x="14201775" y="8401050"/>
          <a:ext cx="3810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2</xdr:col>
      <xdr:colOff>133350</xdr:colOff>
      <xdr:row>44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42900" y="8734425"/>
          <a:ext cx="7620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152400</xdr:colOff>
      <xdr:row>37</xdr:row>
      <xdr:rowOff>9525</xdr:rowOff>
    </xdr:from>
    <xdr:to>
      <xdr:col>6</xdr:col>
      <xdr:colOff>447675</xdr:colOff>
      <xdr:row>37</xdr:row>
      <xdr:rowOff>209550</xdr:rowOff>
    </xdr:to>
    <xdr:sp>
      <xdr:nvSpPr>
        <xdr:cNvPr id="11" name="Rectangle 11"/>
        <xdr:cNvSpPr>
          <a:spLocks/>
        </xdr:cNvSpPr>
      </xdr:nvSpPr>
      <xdr:spPr>
        <a:xfrm>
          <a:off x="5057775" y="78962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161925</xdr:colOff>
      <xdr:row>37</xdr:row>
      <xdr:rowOff>9525</xdr:rowOff>
    </xdr:from>
    <xdr:to>
      <xdr:col>8</xdr:col>
      <xdr:colOff>466725</xdr:colOff>
      <xdr:row>37</xdr:row>
      <xdr:rowOff>209550</xdr:rowOff>
    </xdr:to>
    <xdr:sp>
      <xdr:nvSpPr>
        <xdr:cNvPr id="12" name="Rectangle 12"/>
        <xdr:cNvSpPr>
          <a:spLocks/>
        </xdr:cNvSpPr>
      </xdr:nvSpPr>
      <xdr:spPr>
        <a:xfrm>
          <a:off x="5991225" y="7896225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12</xdr:col>
      <xdr:colOff>152400</xdr:colOff>
      <xdr:row>37</xdr:row>
      <xdr:rowOff>9525</xdr:rowOff>
    </xdr:from>
    <xdr:to>
      <xdr:col>12</xdr:col>
      <xdr:colOff>447675</xdr:colOff>
      <xdr:row>37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7458075" y="78962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952875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19050</xdr:colOff>
      <xdr:row>44</xdr:row>
      <xdr:rowOff>0</xdr:rowOff>
    </xdr:from>
    <xdr:to>
      <xdr:col>4</xdr:col>
      <xdr:colOff>314325</xdr:colOff>
      <xdr:row>44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01002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44</xdr:row>
      <xdr:rowOff>0</xdr:rowOff>
    </xdr:from>
    <xdr:to>
      <xdr:col>6</xdr:col>
      <xdr:colOff>314325</xdr:colOff>
      <xdr:row>44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943475" y="8734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19050</xdr:colOff>
      <xdr:row>44</xdr:row>
      <xdr:rowOff>0</xdr:rowOff>
    </xdr:from>
    <xdr:to>
      <xdr:col>8</xdr:col>
      <xdr:colOff>314325</xdr:colOff>
      <xdr:row>44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848350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10</xdr:col>
      <xdr:colOff>19050</xdr:colOff>
      <xdr:row>44</xdr:row>
      <xdr:rowOff>0</xdr:rowOff>
    </xdr:from>
    <xdr:to>
      <xdr:col>10</xdr:col>
      <xdr:colOff>314325</xdr:colOff>
      <xdr:row>44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73417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37</xdr:row>
      <xdr:rowOff>9525</xdr:rowOff>
    </xdr:from>
    <xdr:to>
      <xdr:col>4</xdr:col>
      <xdr:colOff>466725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57675" y="7896225"/>
          <a:ext cx="295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48125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19050</xdr:colOff>
      <xdr:row>44</xdr:row>
      <xdr:rowOff>0</xdr:rowOff>
    </xdr:from>
    <xdr:to>
      <xdr:col>4</xdr:col>
      <xdr:colOff>314325</xdr:colOff>
      <xdr:row>44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0527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44</xdr:row>
      <xdr:rowOff>0</xdr:rowOff>
    </xdr:from>
    <xdr:to>
      <xdr:col>6</xdr:col>
      <xdr:colOff>314325</xdr:colOff>
      <xdr:row>44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38725" y="8734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92455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92455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37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4048125" y="78962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4048125" y="78962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14</xdr:col>
      <xdr:colOff>504825</xdr:colOff>
      <xdr:row>41</xdr:row>
      <xdr:rowOff>171450</xdr:rowOff>
    </xdr:from>
    <xdr:to>
      <xdr:col>15</xdr:col>
      <xdr:colOff>133350</xdr:colOff>
      <xdr:row>43</xdr:row>
      <xdr:rowOff>28575</xdr:rowOff>
    </xdr:to>
    <xdr:sp>
      <xdr:nvSpPr>
        <xdr:cNvPr id="9" name="Rectangle 9"/>
        <xdr:cNvSpPr>
          <a:spLocks/>
        </xdr:cNvSpPr>
      </xdr:nvSpPr>
      <xdr:spPr>
        <a:xfrm flipH="1">
          <a:off x="10191750" y="8401050"/>
          <a:ext cx="3810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57150</xdr:colOff>
      <xdr:row>44</xdr:row>
      <xdr:rowOff>0</xdr:rowOff>
    </xdr:from>
    <xdr:to>
      <xdr:col>2</xdr:col>
      <xdr:colOff>133350</xdr:colOff>
      <xdr:row>44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38150" y="8734425"/>
          <a:ext cx="76200" cy="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152400</xdr:colOff>
      <xdr:row>37</xdr:row>
      <xdr:rowOff>9525</xdr:rowOff>
    </xdr:from>
    <xdr:to>
      <xdr:col>6</xdr:col>
      <xdr:colOff>447675</xdr:colOff>
      <xdr:row>37</xdr:row>
      <xdr:rowOff>209550</xdr:rowOff>
    </xdr:to>
    <xdr:sp>
      <xdr:nvSpPr>
        <xdr:cNvPr id="11" name="Rectangle 11"/>
        <xdr:cNvSpPr>
          <a:spLocks/>
        </xdr:cNvSpPr>
      </xdr:nvSpPr>
      <xdr:spPr>
        <a:xfrm>
          <a:off x="5153025" y="78962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37</xdr:row>
      <xdr:rowOff>209550</xdr:rowOff>
    </xdr:to>
    <xdr:sp>
      <xdr:nvSpPr>
        <xdr:cNvPr id="12" name="Rectangle 12"/>
        <xdr:cNvSpPr>
          <a:spLocks/>
        </xdr:cNvSpPr>
      </xdr:nvSpPr>
      <xdr:spPr>
        <a:xfrm>
          <a:off x="5924550" y="78962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9</xdr:col>
      <xdr:colOff>0</xdr:colOff>
      <xdr:row>37</xdr:row>
      <xdr:rowOff>9525</xdr:rowOff>
    </xdr:from>
    <xdr:to>
      <xdr:col>9</xdr:col>
      <xdr:colOff>0</xdr:colOff>
      <xdr:row>37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5924550" y="78962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048125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4</xdr:col>
      <xdr:colOff>19050</xdr:colOff>
      <xdr:row>44</xdr:row>
      <xdr:rowOff>0</xdr:rowOff>
    </xdr:from>
    <xdr:to>
      <xdr:col>4</xdr:col>
      <xdr:colOff>314325</xdr:colOff>
      <xdr:row>44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105275" y="87344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6</xdr:col>
      <xdr:colOff>38100</xdr:colOff>
      <xdr:row>44</xdr:row>
      <xdr:rowOff>0</xdr:rowOff>
    </xdr:from>
    <xdr:to>
      <xdr:col>6</xdr:col>
      <xdr:colOff>314325</xdr:colOff>
      <xdr:row>44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038725" y="8734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Rs</a:t>
          </a:r>
          <a:r>
            <a:rPr lang="en-US" cap="none" sz="1000" b="1" i="0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92455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924550" y="873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Rs</a:t>
          </a:r>
          <a:r>
            <a:rPr lang="en-US" cap="none" sz="1000" b="1" i="1" u="none" baseline="0"/>
            <a:t>.</a:t>
          </a:r>
          <a:r>
            <a:rPr lang="en-US" cap="none" sz="10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3"/>
  <sheetViews>
    <sheetView tabSelected="1" zoomScale="90" zoomScaleNormal="90" workbookViewId="0" topLeftCell="A1">
      <selection activeCell="E14" sqref="E14"/>
    </sheetView>
  </sheetViews>
  <sheetFormatPr defaultColWidth="8.88671875" defaultRowHeight="15.75"/>
  <cols>
    <col min="1" max="1" width="3.77734375" style="14" customWidth="1"/>
    <col min="2" max="2" width="0.3359375" style="10" hidden="1" customWidth="1"/>
    <col min="3" max="3" width="20.4453125" style="10" customWidth="1"/>
    <col min="4" max="4" width="0.23046875" style="10" customWidth="1"/>
    <col min="5" max="5" width="9.6640625" style="10" customWidth="1"/>
    <col min="6" max="6" width="0.23046875" style="10" customWidth="1"/>
    <col min="7" max="7" width="9.5546875" style="10" customWidth="1"/>
    <col min="8" max="8" width="0.23046875" style="10" customWidth="1"/>
    <col min="9" max="9" width="11.4453125" style="10" customWidth="1"/>
    <col min="10" max="10" width="0.44140625" style="10" customWidth="1"/>
    <col min="11" max="11" width="10.6640625" style="10" customWidth="1"/>
    <col min="12" max="12" width="0.44140625" style="10" customWidth="1"/>
    <col min="13" max="13" width="10.21484375" style="10" customWidth="1"/>
    <col min="14" max="14" width="0.44140625" style="10" customWidth="1"/>
    <col min="15" max="15" width="10.5546875" style="10" customWidth="1"/>
    <col min="16" max="16" width="0.44140625" style="10" customWidth="1"/>
    <col min="17" max="17" width="11.21484375" style="10" customWidth="1"/>
    <col min="18" max="18" width="0.55078125" style="10" hidden="1" customWidth="1"/>
    <col min="19" max="19" width="13.3359375" style="10" customWidth="1"/>
    <col min="20" max="20" width="0.78125" style="10" customWidth="1"/>
    <col min="21" max="16384" width="8.77734375" style="10" customWidth="1"/>
  </cols>
  <sheetData>
    <row r="1" spans="1:19" ht="17.25" customHeight="1">
      <c r="A1" s="13"/>
      <c r="B1" s="4"/>
      <c r="C1" s="4"/>
      <c r="D1" s="4"/>
      <c r="E1" s="5" t="s">
        <v>262</v>
      </c>
      <c r="F1" s="5"/>
      <c r="G1" s="5"/>
      <c r="H1" s="5"/>
      <c r="I1" s="4"/>
      <c r="J1" s="4"/>
      <c r="K1" s="1"/>
      <c r="L1" s="4"/>
      <c r="N1" s="4"/>
      <c r="O1" s="4"/>
      <c r="P1" s="4"/>
      <c r="Q1" s="4"/>
      <c r="R1" s="4"/>
      <c r="S1" s="4"/>
    </row>
    <row r="2" spans="1:19" ht="3.75" customHeight="1">
      <c r="A2" s="13"/>
      <c r="B2" s="4"/>
      <c r="C2" s="4"/>
      <c r="D2" s="4"/>
      <c r="E2" s="4"/>
      <c r="F2" s="4"/>
      <c r="G2" s="4"/>
      <c r="H2" s="4"/>
      <c r="I2" s="4"/>
      <c r="J2" s="4"/>
      <c r="K2" s="1"/>
      <c r="L2" s="4"/>
      <c r="N2" s="4"/>
      <c r="O2" s="4"/>
      <c r="P2" s="4"/>
      <c r="Q2" s="4"/>
      <c r="R2" s="4"/>
      <c r="S2" s="4"/>
    </row>
    <row r="3" spans="1:19" ht="17.25" customHeight="1">
      <c r="A3" s="13"/>
      <c r="B3" s="4"/>
      <c r="C3" s="359" t="s">
        <v>263</v>
      </c>
      <c r="D3" s="359"/>
      <c r="E3" s="359"/>
      <c r="F3" s="359"/>
      <c r="G3" s="359"/>
      <c r="H3" s="359"/>
      <c r="I3" s="359"/>
      <c r="J3" s="359"/>
      <c r="K3" s="360"/>
      <c r="L3" s="359"/>
      <c r="M3" s="361"/>
      <c r="N3" s="359"/>
      <c r="O3" s="4"/>
      <c r="P3" s="4"/>
      <c r="Q3" s="4"/>
      <c r="R3" s="4"/>
      <c r="S3" s="4"/>
    </row>
    <row r="4" spans="1:19" ht="3.75" customHeight="1">
      <c r="A4" s="13"/>
      <c r="B4" s="4"/>
      <c r="C4" s="4"/>
      <c r="D4" s="4"/>
      <c r="E4" s="4"/>
      <c r="F4" s="4"/>
      <c r="G4" s="4"/>
      <c r="H4" s="4"/>
      <c r="I4" s="4"/>
      <c r="J4" s="4"/>
      <c r="K4" s="1"/>
      <c r="L4" s="4"/>
      <c r="N4" s="4"/>
      <c r="O4" s="4"/>
      <c r="P4" s="4"/>
      <c r="Q4" s="4"/>
      <c r="R4" s="4"/>
      <c r="S4" s="4"/>
    </row>
    <row r="5" spans="1:19" ht="3.75" customHeight="1">
      <c r="A5" s="13"/>
      <c r="B5" s="4"/>
      <c r="C5" s="4"/>
      <c r="D5" s="4"/>
      <c r="E5" s="4"/>
      <c r="F5" s="4"/>
      <c r="G5" s="4"/>
      <c r="H5" s="4"/>
      <c r="I5" s="4"/>
      <c r="J5" s="4"/>
      <c r="K5" s="1"/>
      <c r="L5" s="4"/>
      <c r="N5" s="4"/>
      <c r="O5" s="4"/>
      <c r="P5" s="4"/>
      <c r="Q5" s="4"/>
      <c r="R5" s="4"/>
      <c r="S5" s="4"/>
    </row>
    <row r="6" spans="1:19" ht="17.25" customHeight="1">
      <c r="A6" s="353" t="s">
        <v>48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7"/>
      <c r="Q6" s="7"/>
      <c r="R6" s="7"/>
      <c r="S6" s="7"/>
    </row>
    <row r="7" spans="1:19" ht="17.25" customHeight="1">
      <c r="A7" s="354" t="s">
        <v>207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75"/>
      <c r="Q7" s="75"/>
      <c r="R7" s="75"/>
      <c r="S7" s="75"/>
    </row>
    <row r="8" spans="1:19" ht="3.75" customHeight="1">
      <c r="A8" s="13"/>
      <c r="B8" s="4"/>
      <c r="C8" s="4"/>
      <c r="D8" s="4"/>
      <c r="E8" s="4"/>
      <c r="F8" s="4"/>
      <c r="G8" s="4"/>
      <c r="H8" s="4"/>
      <c r="I8" s="4"/>
      <c r="J8" s="4"/>
      <c r="K8" s="1"/>
      <c r="L8" s="4"/>
      <c r="N8" s="4"/>
      <c r="O8" s="4"/>
      <c r="P8" s="4"/>
      <c r="Q8" s="4"/>
      <c r="R8" s="4"/>
      <c r="S8" s="4"/>
    </row>
    <row r="9" spans="1:19" ht="17.25" customHeight="1">
      <c r="A9" s="13" t="s">
        <v>219</v>
      </c>
      <c r="B9" s="4"/>
      <c r="C9" s="4"/>
      <c r="D9" s="4"/>
      <c r="E9" s="4"/>
      <c r="F9" s="4"/>
      <c r="G9" s="4"/>
      <c r="H9" s="4"/>
      <c r="I9" s="4"/>
      <c r="J9" s="4"/>
      <c r="K9" s="1"/>
      <c r="L9" s="4"/>
      <c r="M9" s="14"/>
      <c r="N9" s="13"/>
      <c r="O9" s="14"/>
      <c r="P9" s="14"/>
      <c r="Q9" s="14"/>
      <c r="R9" s="14"/>
      <c r="S9" s="14"/>
    </row>
    <row r="10" spans="1:19" ht="15.75" customHeight="1" thickBot="1">
      <c r="A10" s="13"/>
      <c r="B10" s="4"/>
      <c r="C10" s="4"/>
      <c r="D10" s="4"/>
      <c r="E10" s="4"/>
      <c r="F10" s="4"/>
      <c r="G10" s="4"/>
      <c r="H10" s="4"/>
      <c r="I10" s="4"/>
      <c r="J10" s="4"/>
      <c r="O10" s="18"/>
      <c r="P10" s="12"/>
      <c r="Q10" s="18" t="s">
        <v>139</v>
      </c>
      <c r="R10" s="12"/>
      <c r="S10" s="18"/>
    </row>
    <row r="11" spans="1:17" ht="15.75" customHeight="1">
      <c r="A11" s="40"/>
      <c r="B11" s="41"/>
      <c r="C11" s="41"/>
      <c r="D11" s="41"/>
      <c r="E11" s="41"/>
      <c r="F11" s="41"/>
      <c r="G11" s="41"/>
      <c r="H11" s="41"/>
      <c r="I11" s="48">
        <v>-1</v>
      </c>
      <c r="J11" s="42"/>
      <c r="K11" s="48">
        <v>-2</v>
      </c>
      <c r="L11" s="42"/>
      <c r="M11" s="48">
        <v>-3</v>
      </c>
      <c r="N11" s="74"/>
      <c r="O11" s="48">
        <v>-4</v>
      </c>
      <c r="P11" s="74"/>
      <c r="Q11" s="48">
        <v>-5</v>
      </c>
    </row>
    <row r="12" spans="1:17" ht="15.75" customHeight="1">
      <c r="A12" s="43"/>
      <c r="B12" s="12"/>
      <c r="C12" s="12"/>
      <c r="D12" s="12"/>
      <c r="E12" s="12"/>
      <c r="F12" s="12"/>
      <c r="G12" s="12"/>
      <c r="H12" s="12"/>
      <c r="I12" s="302"/>
      <c r="J12" s="74"/>
      <c r="K12" s="302"/>
      <c r="L12" s="74"/>
      <c r="M12" s="303" t="s">
        <v>157</v>
      </c>
      <c r="N12" s="74"/>
      <c r="O12" s="302"/>
      <c r="P12" s="74"/>
      <c r="Q12" s="302"/>
    </row>
    <row r="13" spans="1:17" ht="17.25" customHeight="1">
      <c r="A13" s="43"/>
      <c r="B13" s="12"/>
      <c r="C13" s="44"/>
      <c r="D13" s="44"/>
      <c r="E13" s="44"/>
      <c r="F13" s="44"/>
      <c r="G13" s="44"/>
      <c r="H13" s="44"/>
      <c r="I13" s="49" t="s">
        <v>159</v>
      </c>
      <c r="J13" s="44"/>
      <c r="K13" s="49" t="s">
        <v>136</v>
      </c>
      <c r="L13" s="45"/>
      <c r="M13" s="50" t="s">
        <v>136</v>
      </c>
      <c r="N13" s="17"/>
      <c r="O13" s="86" t="s">
        <v>1</v>
      </c>
      <c r="P13" s="17"/>
      <c r="Q13" s="50" t="s">
        <v>1</v>
      </c>
    </row>
    <row r="14" spans="1:17" ht="17.25" customHeight="1">
      <c r="A14" s="43"/>
      <c r="B14" s="12"/>
      <c r="C14" s="12"/>
      <c r="D14" s="12"/>
      <c r="E14" s="12"/>
      <c r="F14" s="12"/>
      <c r="G14" s="12"/>
      <c r="H14" s="12"/>
      <c r="I14" s="49" t="s">
        <v>2</v>
      </c>
      <c r="J14" s="17"/>
      <c r="K14" s="49" t="s">
        <v>2</v>
      </c>
      <c r="L14" s="45"/>
      <c r="M14" s="50" t="s">
        <v>2</v>
      </c>
      <c r="N14" s="17"/>
      <c r="O14" s="86" t="s">
        <v>2</v>
      </c>
      <c r="P14" s="17"/>
      <c r="Q14" s="50" t="s">
        <v>2</v>
      </c>
    </row>
    <row r="15" spans="1:17" ht="17.25" customHeight="1">
      <c r="A15" s="43"/>
      <c r="B15" s="12"/>
      <c r="C15" s="12"/>
      <c r="D15" s="12"/>
      <c r="E15" s="12"/>
      <c r="F15" s="12"/>
      <c r="G15" s="12"/>
      <c r="H15" s="12"/>
      <c r="I15" s="49" t="s">
        <v>158</v>
      </c>
      <c r="J15" s="17"/>
      <c r="K15" s="49" t="s">
        <v>169</v>
      </c>
      <c r="L15" s="45"/>
      <c r="M15" s="51" t="s">
        <v>138</v>
      </c>
      <c r="N15" s="17"/>
      <c r="O15" s="49" t="s">
        <v>169</v>
      </c>
      <c r="P15" s="17"/>
      <c r="Q15" s="51" t="s">
        <v>138</v>
      </c>
    </row>
    <row r="16" spans="1:17" ht="17.25" customHeight="1" thickBot="1">
      <c r="A16" s="46"/>
      <c r="B16" s="47"/>
      <c r="C16" s="76" t="s">
        <v>42</v>
      </c>
      <c r="D16" s="76"/>
      <c r="E16" s="76"/>
      <c r="F16" s="76"/>
      <c r="G16" s="76"/>
      <c r="H16" s="76"/>
      <c r="I16" s="87" t="s">
        <v>170</v>
      </c>
      <c r="J16" s="47"/>
      <c r="K16" s="87" t="s">
        <v>170</v>
      </c>
      <c r="L16" s="60"/>
      <c r="M16" s="73" t="s">
        <v>170</v>
      </c>
      <c r="N16" s="47"/>
      <c r="O16" s="87" t="s">
        <v>3</v>
      </c>
      <c r="P16" s="12"/>
      <c r="Q16" s="73" t="s">
        <v>3</v>
      </c>
    </row>
    <row r="17" spans="1:17" ht="15.75" customHeight="1">
      <c r="A17" s="40"/>
      <c r="B17" s="41"/>
      <c r="C17" s="77"/>
      <c r="D17" s="77"/>
      <c r="E17" s="77"/>
      <c r="F17" s="77"/>
      <c r="G17" s="77"/>
      <c r="H17" s="77"/>
      <c r="I17" s="70"/>
      <c r="J17" s="41"/>
      <c r="K17" s="70"/>
      <c r="L17" s="52"/>
      <c r="M17" s="305"/>
      <c r="N17" s="41"/>
      <c r="O17" s="70"/>
      <c r="P17" s="12"/>
      <c r="Q17" s="70"/>
    </row>
    <row r="18" spans="1:17" ht="17.25" customHeight="1">
      <c r="A18" s="53">
        <v>1</v>
      </c>
      <c r="B18" s="12"/>
      <c r="C18" s="78" t="s">
        <v>9</v>
      </c>
      <c r="D18" s="78"/>
      <c r="E18" s="78"/>
      <c r="F18" s="78"/>
      <c r="G18" s="78"/>
      <c r="H18" s="78"/>
      <c r="I18" s="137">
        <f>23744</f>
        <v>23744</v>
      </c>
      <c r="J18" s="138"/>
      <c r="K18" s="137">
        <v>17112.92</v>
      </c>
      <c r="L18" s="140"/>
      <c r="M18" s="139">
        <v>8289.33</v>
      </c>
      <c r="N18" s="141"/>
      <c r="O18" s="137">
        <v>40856.92</v>
      </c>
      <c r="P18" s="140"/>
      <c r="Q18" s="139">
        <v>31073.79</v>
      </c>
    </row>
    <row r="19" spans="1:17" ht="17.25" customHeight="1">
      <c r="A19" s="53">
        <f>+A18+1</f>
        <v>2</v>
      </c>
      <c r="B19" s="12"/>
      <c r="C19" s="79" t="s">
        <v>49</v>
      </c>
      <c r="D19" s="79"/>
      <c r="E19" s="79"/>
      <c r="F19" s="79"/>
      <c r="G19" s="79"/>
      <c r="H19" s="79"/>
      <c r="I19" s="137"/>
      <c r="J19" s="138"/>
      <c r="K19" s="137"/>
      <c r="L19" s="140"/>
      <c r="M19" s="139"/>
      <c r="N19" s="141"/>
      <c r="O19" s="137"/>
      <c r="P19" s="140"/>
      <c r="Q19" s="139"/>
    </row>
    <row r="20" spans="1:17" ht="17.25" customHeight="1">
      <c r="A20" s="53"/>
      <c r="B20" s="12"/>
      <c r="C20" s="79" t="s">
        <v>50</v>
      </c>
      <c r="D20" s="79"/>
      <c r="E20" s="79"/>
      <c r="F20" s="79"/>
      <c r="G20" s="79"/>
      <c r="H20" s="79"/>
      <c r="I20" s="142">
        <v>49.47</v>
      </c>
      <c r="J20" s="138"/>
      <c r="K20" s="142">
        <v>0</v>
      </c>
      <c r="L20" s="140"/>
      <c r="M20" s="143">
        <v>40</v>
      </c>
      <c r="N20" s="144"/>
      <c r="O20" s="142">
        <f>49.47</f>
        <v>49.47</v>
      </c>
      <c r="P20" s="140"/>
      <c r="Q20" s="143">
        <v>40</v>
      </c>
    </row>
    <row r="21" spans="1:17" ht="17.25" customHeight="1">
      <c r="A21" s="54">
        <f>+A19+1</f>
        <v>3</v>
      </c>
      <c r="B21" s="12"/>
      <c r="C21" s="79" t="s">
        <v>12</v>
      </c>
      <c r="D21" s="79"/>
      <c r="E21" s="79"/>
      <c r="F21" s="79"/>
      <c r="G21" s="79"/>
      <c r="H21" s="79"/>
      <c r="I21" s="145">
        <v>1230.44</v>
      </c>
      <c r="J21" s="138"/>
      <c r="K21" s="142">
        <v>1488.3</v>
      </c>
      <c r="L21" s="140"/>
      <c r="M21" s="146">
        <v>438.56</v>
      </c>
      <c r="N21" s="144"/>
      <c r="O21" s="145">
        <v>2718.74</v>
      </c>
      <c r="P21" s="140"/>
      <c r="Q21" s="146">
        <v>1389.52</v>
      </c>
    </row>
    <row r="22" spans="1:17" ht="17.25" customHeight="1">
      <c r="A22" s="54">
        <f>+A21+1</f>
        <v>4</v>
      </c>
      <c r="B22" s="12"/>
      <c r="C22" s="9" t="s">
        <v>51</v>
      </c>
      <c r="D22" s="9"/>
      <c r="E22" s="9"/>
      <c r="F22" s="9"/>
      <c r="G22" s="9"/>
      <c r="H22" s="9"/>
      <c r="I22" s="147">
        <f>SUM(I18:I21)</f>
        <v>25023.91</v>
      </c>
      <c r="J22" s="138"/>
      <c r="K22" s="147">
        <f>SUM(K18:K21)</f>
        <v>18601.219999999998</v>
      </c>
      <c r="L22" s="140"/>
      <c r="M22" s="148">
        <f>SUM(M18:M21)</f>
        <v>8767.89</v>
      </c>
      <c r="N22" s="138"/>
      <c r="O22" s="147">
        <f>SUM(O18:O21)</f>
        <v>43625.13</v>
      </c>
      <c r="P22" s="140"/>
      <c r="Q22" s="148">
        <f>SUM(Q18:Q21)</f>
        <v>32503.31</v>
      </c>
    </row>
    <row r="23" spans="1:17" ht="17.25" customHeight="1">
      <c r="A23" s="53">
        <f>+A22+1</f>
        <v>5</v>
      </c>
      <c r="B23" s="12"/>
      <c r="C23" s="9" t="s">
        <v>43</v>
      </c>
      <c r="D23" s="9"/>
      <c r="E23" s="9"/>
      <c r="F23" s="9"/>
      <c r="G23" s="9"/>
      <c r="H23" s="9"/>
      <c r="I23" s="137"/>
      <c r="J23" s="138"/>
      <c r="K23" s="137"/>
      <c r="L23" s="140"/>
      <c r="M23" s="139"/>
      <c r="N23" s="138"/>
      <c r="O23" s="137"/>
      <c r="P23" s="140"/>
      <c r="Q23" s="139"/>
    </row>
    <row r="24" spans="1:17" ht="17.25" customHeight="1">
      <c r="A24" s="53"/>
      <c r="B24" s="12"/>
      <c r="C24" s="12" t="s">
        <v>155</v>
      </c>
      <c r="D24" s="12"/>
      <c r="E24" s="12"/>
      <c r="F24" s="12"/>
      <c r="G24" s="12"/>
      <c r="H24" s="12"/>
      <c r="I24" s="142">
        <v>-626.11</v>
      </c>
      <c r="J24" s="138"/>
      <c r="K24" s="142">
        <v>231.08</v>
      </c>
      <c r="L24" s="140"/>
      <c r="M24" s="143">
        <v>-56.32</v>
      </c>
      <c r="N24" s="144"/>
      <c r="O24" s="142">
        <v>-395.03</v>
      </c>
      <c r="P24" s="140"/>
      <c r="Q24" s="143">
        <v>656.41</v>
      </c>
    </row>
    <row r="25" spans="1:17" ht="17.25" customHeight="1">
      <c r="A25" s="53"/>
      <c r="B25" s="12"/>
      <c r="C25" s="12" t="s">
        <v>14</v>
      </c>
      <c r="D25" s="12"/>
      <c r="E25" s="12"/>
      <c r="F25" s="12"/>
      <c r="G25" s="12"/>
      <c r="H25" s="12"/>
      <c r="I25" s="142">
        <f>11276.31</f>
        <v>11276.31</v>
      </c>
      <c r="J25" s="138"/>
      <c r="K25" s="142">
        <v>4713.97</v>
      </c>
      <c r="L25" s="140"/>
      <c r="M25" s="143">
        <v>3455.88</v>
      </c>
      <c r="N25" s="144"/>
      <c r="O25" s="142">
        <v>15990.28</v>
      </c>
      <c r="P25" s="140"/>
      <c r="Q25" s="143">
        <v>13572.43</v>
      </c>
    </row>
    <row r="26" spans="1:17" ht="17.25" customHeight="1">
      <c r="A26" s="53"/>
      <c r="B26" s="12"/>
      <c r="C26" s="12" t="s">
        <v>15</v>
      </c>
      <c r="D26" s="12"/>
      <c r="E26" s="12"/>
      <c r="F26" s="12"/>
      <c r="G26" s="12"/>
      <c r="H26" s="12"/>
      <c r="I26" s="142">
        <f>277.94</f>
        <v>277.94</v>
      </c>
      <c r="J26" s="138"/>
      <c r="K26" s="142">
        <v>3944.23</v>
      </c>
      <c r="L26" s="140"/>
      <c r="M26" s="143">
        <v>257.41</v>
      </c>
      <c r="N26" s="144"/>
      <c r="O26" s="142">
        <f>4222.17</f>
        <v>4222.17</v>
      </c>
      <c r="P26" s="140"/>
      <c r="Q26" s="143">
        <v>397.83</v>
      </c>
    </row>
    <row r="27" spans="1:17" ht="17.25" customHeight="1">
      <c r="A27" s="53"/>
      <c r="B27" s="12"/>
      <c r="C27" s="79" t="s">
        <v>10</v>
      </c>
      <c r="D27" s="79"/>
      <c r="E27" s="79"/>
      <c r="F27" s="79"/>
      <c r="G27" s="79"/>
      <c r="H27" s="79"/>
      <c r="I27" s="142">
        <f>3235.38</f>
        <v>3235.38</v>
      </c>
      <c r="J27" s="138"/>
      <c r="K27" s="142">
        <v>2423.97</v>
      </c>
      <c r="L27" s="140"/>
      <c r="M27" s="143">
        <v>996.66</v>
      </c>
      <c r="N27" s="144"/>
      <c r="O27" s="142">
        <v>5659.35</v>
      </c>
      <c r="P27" s="140"/>
      <c r="Q27" s="143">
        <v>4425.79</v>
      </c>
    </row>
    <row r="28" spans="1:17" ht="17.25" customHeight="1">
      <c r="A28" s="53"/>
      <c r="B28" s="12"/>
      <c r="C28" s="79" t="s">
        <v>13</v>
      </c>
      <c r="D28" s="79"/>
      <c r="E28" s="79"/>
      <c r="F28" s="79"/>
      <c r="G28" s="79"/>
      <c r="H28" s="79"/>
      <c r="I28" s="142">
        <v>8047.24</v>
      </c>
      <c r="J28" s="138"/>
      <c r="K28" s="142">
        <v>5396.87</v>
      </c>
      <c r="L28" s="140"/>
      <c r="M28" s="143">
        <v>3038.14</v>
      </c>
      <c r="N28" s="144"/>
      <c r="O28" s="142">
        <v>13444.11</v>
      </c>
      <c r="P28" s="140"/>
      <c r="Q28" s="143">
        <v>9766.08</v>
      </c>
    </row>
    <row r="29" spans="1:17" ht="17.25" customHeight="1">
      <c r="A29" s="53"/>
      <c r="B29" s="12"/>
      <c r="C29" s="12" t="s">
        <v>25</v>
      </c>
      <c r="D29" s="12"/>
      <c r="E29" s="12"/>
      <c r="F29" s="12"/>
      <c r="G29" s="12"/>
      <c r="H29" s="12"/>
      <c r="I29" s="147">
        <f>SUM(I24:I28)</f>
        <v>22210.760000000002</v>
      </c>
      <c r="J29" s="138"/>
      <c r="K29" s="147">
        <f>SUM(K24:K28)</f>
        <v>16710.12</v>
      </c>
      <c r="L29" s="140"/>
      <c r="M29" s="148">
        <f>SUM(M24:M28)</f>
        <v>7691.77</v>
      </c>
      <c r="N29" s="138"/>
      <c r="O29" s="147">
        <f>SUM(O24:O28)</f>
        <v>38920.88</v>
      </c>
      <c r="P29" s="140"/>
      <c r="Q29" s="148">
        <f>SUM(Q24:Q28)</f>
        <v>28818.54</v>
      </c>
    </row>
    <row r="30" spans="1:17" ht="17.25" customHeight="1">
      <c r="A30" s="53">
        <f>+A23+1</f>
        <v>6</v>
      </c>
      <c r="B30" s="12"/>
      <c r="C30" s="79" t="s">
        <v>44</v>
      </c>
      <c r="D30" s="79"/>
      <c r="E30" s="79"/>
      <c r="F30" s="79"/>
      <c r="G30" s="79"/>
      <c r="H30" s="79"/>
      <c r="I30" s="142">
        <f>435.54</f>
        <v>435.54</v>
      </c>
      <c r="J30" s="138"/>
      <c r="K30" s="142">
        <v>317.17</v>
      </c>
      <c r="L30" s="140"/>
      <c r="M30" s="143">
        <v>116.55</v>
      </c>
      <c r="N30" s="144"/>
      <c r="O30" s="142">
        <v>752.71</v>
      </c>
      <c r="P30" s="140"/>
      <c r="Q30" s="143">
        <v>565.87</v>
      </c>
    </row>
    <row r="31" spans="1:17" ht="17.25" customHeight="1">
      <c r="A31" s="53">
        <f>+A30+1</f>
        <v>7</v>
      </c>
      <c r="B31" s="12"/>
      <c r="C31" s="79" t="s">
        <v>186</v>
      </c>
      <c r="D31" s="79"/>
      <c r="E31" s="79"/>
      <c r="F31" s="79"/>
      <c r="G31" s="79"/>
      <c r="H31" s="79"/>
      <c r="I31" s="301"/>
      <c r="K31" s="301"/>
      <c r="M31" s="306"/>
      <c r="O31" s="301"/>
      <c r="Q31" s="301"/>
    </row>
    <row r="32" spans="1:17" ht="17.25" customHeight="1">
      <c r="A32" s="53"/>
      <c r="B32" s="12"/>
      <c r="C32" s="79" t="s">
        <v>226</v>
      </c>
      <c r="D32" s="79"/>
      <c r="E32" s="79"/>
      <c r="F32" s="79"/>
      <c r="G32" s="79"/>
      <c r="H32" s="79"/>
      <c r="I32" s="145">
        <f>23.89</f>
        <v>23.89</v>
      </c>
      <c r="J32" s="138"/>
      <c r="K32" s="145">
        <v>-0.03</v>
      </c>
      <c r="L32" s="140"/>
      <c r="M32" s="146">
        <v>154.35</v>
      </c>
      <c r="N32" s="144"/>
      <c r="O32" s="145">
        <f>23.86</f>
        <v>23.86</v>
      </c>
      <c r="P32" s="140"/>
      <c r="Q32" s="146">
        <v>502.66</v>
      </c>
    </row>
    <row r="33" spans="1:17" ht="17.25" customHeight="1">
      <c r="A33" s="53">
        <f>+A31+1</f>
        <v>8</v>
      </c>
      <c r="B33" s="12"/>
      <c r="C33" s="78" t="s">
        <v>164</v>
      </c>
      <c r="D33" s="78"/>
      <c r="E33" s="78"/>
      <c r="F33" s="78"/>
      <c r="G33" s="78"/>
      <c r="H33" s="78"/>
      <c r="I33" s="137">
        <f>+I22-I29-I30-I32</f>
        <v>2353.719999999998</v>
      </c>
      <c r="J33" s="151"/>
      <c r="K33" s="137">
        <f>+K22-K29-K30-K32</f>
        <v>1573.9599999999984</v>
      </c>
      <c r="L33" s="152"/>
      <c r="M33" s="139">
        <f>+M22-M29-M30-M32</f>
        <v>805.219999999999</v>
      </c>
      <c r="N33" s="141"/>
      <c r="O33" s="137">
        <f>+O22-O29-O30-O32</f>
        <v>3927.68</v>
      </c>
      <c r="P33" s="152"/>
      <c r="Q33" s="139">
        <f>+Q22-Q29-Q30-Q32</f>
        <v>2616.2400000000007</v>
      </c>
    </row>
    <row r="34" spans="1:17" ht="17.25" customHeight="1">
      <c r="A34" s="53">
        <f aca="true" t="shared" si="0" ref="A34:A39">+A33+1</f>
        <v>9</v>
      </c>
      <c r="B34" s="12"/>
      <c r="C34" s="79" t="s">
        <v>53</v>
      </c>
      <c r="D34" s="79"/>
      <c r="E34" s="79"/>
      <c r="F34" s="79"/>
      <c r="G34" s="79"/>
      <c r="H34" s="79"/>
      <c r="I34" s="145">
        <v>1320.81</v>
      </c>
      <c r="J34" s="138"/>
      <c r="K34" s="145">
        <v>448.85</v>
      </c>
      <c r="L34" s="140"/>
      <c r="M34" s="146">
        <v>361.6</v>
      </c>
      <c r="N34" s="144"/>
      <c r="O34" s="145">
        <v>1769.66</v>
      </c>
      <c r="P34" s="140"/>
      <c r="Q34" s="146">
        <v>1585.41</v>
      </c>
    </row>
    <row r="35" spans="1:17" ht="17.25" customHeight="1">
      <c r="A35" s="53">
        <f t="shared" si="0"/>
        <v>10</v>
      </c>
      <c r="B35" s="12"/>
      <c r="C35" s="78" t="s">
        <v>46</v>
      </c>
      <c r="D35" s="78"/>
      <c r="E35" s="78"/>
      <c r="F35" s="78"/>
      <c r="G35" s="78"/>
      <c r="H35" s="78"/>
      <c r="I35" s="137">
        <f>+I33-I34</f>
        <v>1032.909999999998</v>
      </c>
      <c r="J35" s="138"/>
      <c r="K35" s="137">
        <f>+K33-K34</f>
        <v>1125.1099999999983</v>
      </c>
      <c r="L35" s="140"/>
      <c r="M35" s="139">
        <f>+M33-M34</f>
        <v>443.619999999999</v>
      </c>
      <c r="N35" s="138"/>
      <c r="O35" s="137">
        <f>+O33-O34</f>
        <v>2158.0199999999995</v>
      </c>
      <c r="P35" s="140"/>
      <c r="Q35" s="139">
        <f>+Q33-Q34</f>
        <v>1030.8300000000006</v>
      </c>
    </row>
    <row r="36" spans="1:17" ht="17.25" customHeight="1">
      <c r="A36" s="53">
        <f t="shared" si="0"/>
        <v>11</v>
      </c>
      <c r="B36" s="12"/>
      <c r="C36" s="79" t="s">
        <v>240</v>
      </c>
      <c r="D36" s="78"/>
      <c r="E36" s="78"/>
      <c r="F36" s="78"/>
      <c r="G36" s="78"/>
      <c r="H36" s="78"/>
      <c r="I36" s="137">
        <v>0</v>
      </c>
      <c r="J36" s="138"/>
      <c r="K36" s="142">
        <v>278.37</v>
      </c>
      <c r="L36" s="140"/>
      <c r="M36" s="139">
        <v>0</v>
      </c>
      <c r="N36" s="138"/>
      <c r="O36" s="137">
        <v>278.37</v>
      </c>
      <c r="P36" s="140"/>
      <c r="Q36" s="139">
        <v>0</v>
      </c>
    </row>
    <row r="37" spans="1:17" ht="17.25" customHeight="1">
      <c r="A37" s="53">
        <f t="shared" si="0"/>
        <v>12</v>
      </c>
      <c r="B37" s="12"/>
      <c r="C37" s="79" t="s">
        <v>241</v>
      </c>
      <c r="D37" s="78"/>
      <c r="E37" s="78"/>
      <c r="F37" s="78"/>
      <c r="G37" s="78"/>
      <c r="H37" s="78"/>
      <c r="I37" s="319">
        <v>0</v>
      </c>
      <c r="J37" s="138"/>
      <c r="K37" s="145">
        <v>146.94</v>
      </c>
      <c r="L37" s="140"/>
      <c r="M37" s="320">
        <v>0</v>
      </c>
      <c r="N37" s="138"/>
      <c r="O37" s="319">
        <v>146.94</v>
      </c>
      <c r="P37" s="140"/>
      <c r="Q37" s="320">
        <v>0</v>
      </c>
    </row>
    <row r="38" spans="1:17" ht="17.25" customHeight="1">
      <c r="A38" s="53">
        <f t="shared" si="0"/>
        <v>13</v>
      </c>
      <c r="B38" s="12"/>
      <c r="C38" s="78" t="s">
        <v>242</v>
      </c>
      <c r="D38" s="78"/>
      <c r="E38" s="78"/>
      <c r="F38" s="78"/>
      <c r="G38" s="78"/>
      <c r="H38" s="78"/>
      <c r="I38" s="137">
        <f>+I35-I36+I37</f>
        <v>1032.909999999998</v>
      </c>
      <c r="J38" s="138"/>
      <c r="K38" s="137">
        <f>+K35-K36+K37</f>
        <v>993.6799999999982</v>
      </c>
      <c r="L38" s="140"/>
      <c r="M38" s="139">
        <f>+M35-M36+M37</f>
        <v>443.619999999999</v>
      </c>
      <c r="N38" s="138"/>
      <c r="O38" s="137">
        <f>+O35-O36+O37</f>
        <v>2026.5899999999997</v>
      </c>
      <c r="P38" s="140"/>
      <c r="Q38" s="139">
        <f>+Q35-Q36+Q37</f>
        <v>1030.8300000000006</v>
      </c>
    </row>
    <row r="39" spans="1:17" ht="17.25" customHeight="1">
      <c r="A39" s="53">
        <f t="shared" si="0"/>
        <v>14</v>
      </c>
      <c r="B39" s="12"/>
      <c r="C39" s="12" t="s">
        <v>4</v>
      </c>
      <c r="D39" s="12"/>
      <c r="E39" s="12"/>
      <c r="F39" s="12"/>
      <c r="G39" s="12"/>
      <c r="H39" s="12"/>
      <c r="I39" s="149"/>
      <c r="J39" s="140"/>
      <c r="K39" s="149"/>
      <c r="L39" s="140"/>
      <c r="M39" s="150"/>
      <c r="N39" s="140"/>
      <c r="O39" s="149"/>
      <c r="P39" s="140"/>
      <c r="Q39" s="150"/>
    </row>
    <row r="40" spans="1:17" ht="17.25" customHeight="1">
      <c r="A40" s="53"/>
      <c r="B40" s="12"/>
      <c r="C40" s="12" t="s">
        <v>16</v>
      </c>
      <c r="D40" s="12"/>
      <c r="E40" s="12"/>
      <c r="F40" s="12"/>
      <c r="G40" s="12"/>
      <c r="H40" s="12"/>
      <c r="I40" s="145">
        <f>59.29</f>
        <v>59.29</v>
      </c>
      <c r="J40" s="138"/>
      <c r="K40" s="145">
        <v>177.83</v>
      </c>
      <c r="L40" s="140"/>
      <c r="M40" s="146">
        <v>66</v>
      </c>
      <c r="N40" s="144"/>
      <c r="O40" s="145">
        <v>237.12</v>
      </c>
      <c r="P40" s="140"/>
      <c r="Q40" s="146">
        <v>76.51</v>
      </c>
    </row>
    <row r="41" spans="1:17" ht="17.25" customHeight="1">
      <c r="A41" s="53">
        <f>+A39+1</f>
        <v>15</v>
      </c>
      <c r="B41" s="12"/>
      <c r="C41" s="78" t="s">
        <v>243</v>
      </c>
      <c r="D41" s="78"/>
      <c r="E41" s="78"/>
      <c r="F41" s="78"/>
      <c r="G41" s="78"/>
      <c r="H41" s="78"/>
      <c r="I41" s="137">
        <f>+I38-I40</f>
        <v>973.6199999999981</v>
      </c>
      <c r="J41" s="151"/>
      <c r="K41" s="137">
        <f>+K38-K40</f>
        <v>815.8499999999982</v>
      </c>
      <c r="L41" s="152"/>
      <c r="M41" s="139">
        <f>+M38-M40</f>
        <v>377.619999999999</v>
      </c>
      <c r="N41" s="141"/>
      <c r="O41" s="137">
        <f>+O38-O40</f>
        <v>1789.4699999999998</v>
      </c>
      <c r="P41" s="152"/>
      <c r="Q41" s="139">
        <f>+Q38-Q40</f>
        <v>954.3200000000006</v>
      </c>
    </row>
    <row r="42" spans="1:17" ht="17.25" customHeight="1">
      <c r="A42" s="53">
        <f>+A41+1</f>
        <v>16</v>
      </c>
      <c r="B42" s="12"/>
      <c r="C42" s="12" t="s">
        <v>5</v>
      </c>
      <c r="D42" s="12"/>
      <c r="E42" s="12"/>
      <c r="F42" s="12"/>
      <c r="G42" s="12"/>
      <c r="H42" s="12"/>
      <c r="I42" s="142"/>
      <c r="J42" s="138"/>
      <c r="K42" s="142"/>
      <c r="L42" s="140"/>
      <c r="M42" s="143"/>
      <c r="N42" s="144"/>
      <c r="O42" s="142"/>
      <c r="P42" s="140"/>
      <c r="Q42" s="143"/>
    </row>
    <row r="43" spans="1:17" ht="17.25" customHeight="1">
      <c r="A43" s="53"/>
      <c r="B43" s="12"/>
      <c r="C43" s="12" t="s">
        <v>17</v>
      </c>
      <c r="D43" s="12"/>
      <c r="E43" s="12"/>
      <c r="F43" s="12"/>
      <c r="G43" s="12"/>
      <c r="H43" s="12"/>
      <c r="I43" s="142">
        <v>191.5</v>
      </c>
      <c r="J43" s="138"/>
      <c r="K43" s="142">
        <v>-141.5</v>
      </c>
      <c r="L43" s="140"/>
      <c r="M43" s="143">
        <v>37</v>
      </c>
      <c r="N43" s="144"/>
      <c r="O43" s="142">
        <v>50</v>
      </c>
      <c r="P43" s="140"/>
      <c r="Q43" s="143">
        <v>85</v>
      </c>
    </row>
    <row r="44" spans="1:19" ht="17.25" customHeight="1">
      <c r="A44" s="53"/>
      <c r="B44" s="12"/>
      <c r="C44" s="12" t="s">
        <v>163</v>
      </c>
      <c r="D44" s="12"/>
      <c r="E44" s="12"/>
      <c r="F44" s="12"/>
      <c r="G44" s="12"/>
      <c r="H44" s="12"/>
      <c r="I44" s="145">
        <v>-302</v>
      </c>
      <c r="J44" s="138"/>
      <c r="K44" s="145">
        <v>466.43</v>
      </c>
      <c r="L44" s="140"/>
      <c r="M44" s="146">
        <v>-17</v>
      </c>
      <c r="N44" s="144"/>
      <c r="O44" s="304">
        <v>164.43</v>
      </c>
      <c r="P44" s="140"/>
      <c r="Q44" s="146">
        <v>-250</v>
      </c>
      <c r="S44" s="4"/>
    </row>
    <row r="45" spans="1:17" ht="17.25" customHeight="1" thickBot="1">
      <c r="A45" s="53">
        <f>+A42+1</f>
        <v>17</v>
      </c>
      <c r="B45" s="12"/>
      <c r="C45" s="9" t="s">
        <v>244</v>
      </c>
      <c r="D45" s="9"/>
      <c r="E45" s="9"/>
      <c r="F45" s="9"/>
      <c r="G45" s="9"/>
      <c r="H45" s="9"/>
      <c r="I45" s="154">
        <f>+I41-I43-I44</f>
        <v>1084.119999999998</v>
      </c>
      <c r="J45" s="138"/>
      <c r="K45" s="154">
        <f>+K41-K43-K44</f>
        <v>490.9199999999982</v>
      </c>
      <c r="L45" s="140"/>
      <c r="M45" s="155">
        <f>+M41-M43-M44</f>
        <v>357.619999999999</v>
      </c>
      <c r="N45" s="141"/>
      <c r="O45" s="154">
        <f>+O41-O43-O44</f>
        <v>1575.0399999999997</v>
      </c>
      <c r="P45" s="140"/>
      <c r="Q45" s="155">
        <f>+Q41-Q43-Q44</f>
        <v>1119.3200000000006</v>
      </c>
    </row>
    <row r="46" spans="1:17" ht="6" customHeight="1" thickTop="1">
      <c r="A46" s="53"/>
      <c r="B46" s="12"/>
      <c r="C46" s="9"/>
      <c r="D46" s="9"/>
      <c r="E46" s="9"/>
      <c r="F46" s="9"/>
      <c r="G46" s="9"/>
      <c r="H46" s="9"/>
      <c r="I46" s="137"/>
      <c r="J46" s="138"/>
      <c r="K46" s="137"/>
      <c r="L46" s="140"/>
      <c r="M46" s="139"/>
      <c r="N46" s="141"/>
      <c r="O46" s="137"/>
      <c r="P46" s="140"/>
      <c r="Q46" s="139"/>
    </row>
    <row r="47" spans="1:17" ht="17.25" customHeight="1">
      <c r="A47" s="54">
        <f>+A45+1</f>
        <v>18</v>
      </c>
      <c r="B47" s="12"/>
      <c r="C47" s="80" t="s">
        <v>19</v>
      </c>
      <c r="D47" s="80"/>
      <c r="E47" s="80"/>
      <c r="F47" s="80"/>
      <c r="G47" s="80"/>
      <c r="H47" s="80"/>
      <c r="I47" s="156">
        <v>1245.34</v>
      </c>
      <c r="J47" s="141"/>
      <c r="K47" s="156">
        <v>1245.34</v>
      </c>
      <c r="L47" s="140"/>
      <c r="M47" s="157">
        <v>1245.34</v>
      </c>
      <c r="N47" s="141"/>
      <c r="O47" s="156">
        <v>1245.34</v>
      </c>
      <c r="P47" s="140"/>
      <c r="Q47" s="157">
        <v>1245.34</v>
      </c>
    </row>
    <row r="48" spans="1:17" ht="17.25" customHeight="1">
      <c r="A48" s="53"/>
      <c r="B48" s="12"/>
      <c r="C48" s="15" t="s">
        <v>11</v>
      </c>
      <c r="D48" s="15"/>
      <c r="E48" s="15"/>
      <c r="F48" s="15"/>
      <c r="G48" s="15"/>
      <c r="H48" s="15"/>
      <c r="I48" s="158"/>
      <c r="J48" s="144"/>
      <c r="K48" s="158"/>
      <c r="L48" s="140"/>
      <c r="M48" s="159"/>
      <c r="N48" s="144"/>
      <c r="O48" s="158"/>
      <c r="P48" s="140"/>
      <c r="Q48" s="159"/>
    </row>
    <row r="49" spans="1:17" ht="17.25" customHeight="1">
      <c r="A49" s="54">
        <f>+A47+1</f>
        <v>19</v>
      </c>
      <c r="B49" s="12"/>
      <c r="C49" s="80" t="s">
        <v>0</v>
      </c>
      <c r="D49" s="80"/>
      <c r="E49" s="80"/>
      <c r="F49" s="80"/>
      <c r="G49" s="80"/>
      <c r="H49" s="80"/>
      <c r="I49" s="149"/>
      <c r="J49" s="140"/>
      <c r="K49" s="149"/>
      <c r="L49" s="140"/>
      <c r="M49" s="160"/>
      <c r="N49" s="141"/>
      <c r="O49" s="294">
        <v>17274.6</v>
      </c>
      <c r="P49" s="140"/>
      <c r="Q49" s="160">
        <v>18714.11</v>
      </c>
    </row>
    <row r="50" spans="1:17" ht="17.25" customHeight="1">
      <c r="A50" s="54">
        <f>+A49+1</f>
        <v>20</v>
      </c>
      <c r="B50" s="29"/>
      <c r="C50" s="55" t="s">
        <v>20</v>
      </c>
      <c r="D50" s="55"/>
      <c r="E50" s="55"/>
      <c r="F50" s="55"/>
      <c r="G50" s="55"/>
      <c r="H50" s="55"/>
      <c r="I50" s="62">
        <f>+I45/I47*10</f>
        <v>8.705413782581449</v>
      </c>
      <c r="J50" s="55"/>
      <c r="K50" s="62">
        <f>+K45/K47*10</f>
        <v>3.942055984710988</v>
      </c>
      <c r="L50" s="55"/>
      <c r="M50" s="64">
        <f>+M45/M47*10</f>
        <v>2.8716655692421265</v>
      </c>
      <c r="N50" s="55"/>
      <c r="O50" s="62">
        <f>+O45/O47*10</f>
        <v>12.647469767292465</v>
      </c>
      <c r="P50" s="55"/>
      <c r="Q50" s="64">
        <f>+Q45/Q47*10</f>
        <v>8.98806751569853</v>
      </c>
    </row>
    <row r="51" spans="1:17" ht="23.25" customHeight="1">
      <c r="A51" s="54"/>
      <c r="B51" s="29"/>
      <c r="C51" s="55" t="s">
        <v>21</v>
      </c>
      <c r="D51" s="55"/>
      <c r="E51" s="55"/>
      <c r="F51" s="55"/>
      <c r="G51" s="55"/>
      <c r="H51" s="55"/>
      <c r="I51" s="63" t="s">
        <v>171</v>
      </c>
      <c r="J51" s="29"/>
      <c r="K51" s="63" t="s">
        <v>7</v>
      </c>
      <c r="L51" s="56"/>
      <c r="M51" s="65" t="s">
        <v>7</v>
      </c>
      <c r="N51" s="29"/>
      <c r="O51" s="308" t="s">
        <v>172</v>
      </c>
      <c r="P51" s="29"/>
      <c r="Q51" s="307" t="s">
        <v>172</v>
      </c>
    </row>
    <row r="52" spans="1:17" ht="18" customHeight="1">
      <c r="A52" s="54">
        <f>+A50+1</f>
        <v>21</v>
      </c>
      <c r="B52" s="29"/>
      <c r="C52" s="55" t="s">
        <v>22</v>
      </c>
      <c r="D52" s="55"/>
      <c r="E52" s="55"/>
      <c r="F52" s="55"/>
      <c r="G52" s="55"/>
      <c r="H52" s="55"/>
      <c r="I52" s="63"/>
      <c r="J52" s="29"/>
      <c r="K52" s="63"/>
      <c r="L52" s="56"/>
      <c r="M52" s="65"/>
      <c r="N52" s="29"/>
      <c r="O52" s="63"/>
      <c r="P52" s="29"/>
      <c r="Q52" s="65"/>
    </row>
    <row r="53" spans="1:17" ht="20.25" customHeight="1">
      <c r="A53" s="54"/>
      <c r="B53" s="29"/>
      <c r="C53" s="55" t="s">
        <v>23</v>
      </c>
      <c r="D53" s="55"/>
      <c r="E53" s="55"/>
      <c r="F53" s="55"/>
      <c r="G53" s="55"/>
      <c r="H53" s="55"/>
      <c r="I53" s="296">
        <v>3472706</v>
      </c>
      <c r="J53" s="57"/>
      <c r="K53" s="296">
        <v>3422706</v>
      </c>
      <c r="L53" s="57"/>
      <c r="M53" s="295">
        <v>3636659</v>
      </c>
      <c r="N53" s="57"/>
      <c r="O53" s="296">
        <v>3422706</v>
      </c>
      <c r="P53" s="58"/>
      <c r="Q53" s="295">
        <v>3636659</v>
      </c>
    </row>
    <row r="54" spans="1:17" ht="20.25" customHeight="1" thickBot="1">
      <c r="A54" s="59"/>
      <c r="B54" s="60"/>
      <c r="C54" s="81" t="s">
        <v>24</v>
      </c>
      <c r="D54" s="81"/>
      <c r="E54" s="81"/>
      <c r="F54" s="81"/>
      <c r="G54" s="81"/>
      <c r="H54" s="81"/>
      <c r="I54" s="71">
        <f>+I53/12453402</f>
        <v>0.2788560105905198</v>
      </c>
      <c r="J54" s="60"/>
      <c r="K54" s="71">
        <f>+K53/12453402</f>
        <v>0.2748410434353601</v>
      </c>
      <c r="L54" s="61"/>
      <c r="M54" s="67">
        <f>+M53/12453402</f>
        <v>0.2920213287903177</v>
      </c>
      <c r="N54" s="60"/>
      <c r="O54" s="71">
        <f>+O53/12453402</f>
        <v>0.2748410434353601</v>
      </c>
      <c r="P54" s="29"/>
      <c r="Q54" s="67">
        <f>+Q53/12453402</f>
        <v>0.2920213287903177</v>
      </c>
    </row>
    <row r="55" spans="1:17" ht="6" customHeight="1">
      <c r="A55" s="19"/>
      <c r="C55" s="23"/>
      <c r="D55" s="23"/>
      <c r="E55" s="23"/>
      <c r="F55" s="23"/>
      <c r="G55" s="23"/>
      <c r="H55" s="23"/>
      <c r="I55" s="34"/>
      <c r="K55" s="33"/>
      <c r="L55" s="11"/>
      <c r="M55" s="33"/>
      <c r="O55" s="34"/>
      <c r="P55" s="29"/>
      <c r="Q55" s="34"/>
    </row>
    <row r="56" spans="1:17" ht="15.75">
      <c r="A56" s="349" t="s">
        <v>161</v>
      </c>
      <c r="C56" s="23"/>
      <c r="D56" s="23"/>
      <c r="E56" s="23"/>
      <c r="F56" s="23"/>
      <c r="G56" s="23"/>
      <c r="H56" s="23"/>
      <c r="I56" s="34"/>
      <c r="K56" s="33"/>
      <c r="L56" s="11"/>
      <c r="M56" s="33"/>
      <c r="O56" s="34"/>
      <c r="P56" s="29"/>
      <c r="Q56" s="34"/>
    </row>
    <row r="57" spans="1:19" ht="20.25" customHeight="1">
      <c r="A57" s="19"/>
      <c r="C57" s="350" t="s">
        <v>208</v>
      </c>
      <c r="D57" s="23"/>
      <c r="E57" s="23"/>
      <c r="F57" s="23"/>
      <c r="G57" s="23"/>
      <c r="H57" s="23"/>
      <c r="I57" s="23"/>
      <c r="K57" s="34"/>
      <c r="M57" s="33"/>
      <c r="N57" s="11"/>
      <c r="O57" s="33"/>
      <c r="Q57" s="33"/>
      <c r="S57" s="33"/>
    </row>
    <row r="58" spans="1:19" ht="20.25" customHeight="1">
      <c r="A58" s="19"/>
      <c r="C58" s="350" t="s">
        <v>223</v>
      </c>
      <c r="D58" s="23"/>
      <c r="E58" s="23"/>
      <c r="F58" s="23"/>
      <c r="G58" s="23"/>
      <c r="H58" s="23"/>
      <c r="I58" s="23"/>
      <c r="K58" s="34"/>
      <c r="M58" s="33"/>
      <c r="N58" s="11"/>
      <c r="O58" s="33"/>
      <c r="Q58" s="33"/>
      <c r="S58" s="33"/>
    </row>
    <row r="59" spans="1:15" ht="20.25" customHeight="1">
      <c r="A59" s="19"/>
      <c r="C59" s="350" t="s">
        <v>224</v>
      </c>
      <c r="D59" s="23"/>
      <c r="E59" s="23"/>
      <c r="F59" s="23"/>
      <c r="G59" s="23"/>
      <c r="H59" s="23"/>
      <c r="I59" s="23"/>
      <c r="K59" s="34"/>
      <c r="M59" s="33"/>
      <c r="N59" s="11"/>
      <c r="O59" s="34"/>
    </row>
    <row r="60" spans="1:19" ht="20.25" customHeight="1">
      <c r="A60" s="19"/>
      <c r="K60" s="37"/>
      <c r="M60" s="38"/>
      <c r="N60" s="11"/>
      <c r="O60" s="37"/>
      <c r="Q60" s="90" t="s">
        <v>34</v>
      </c>
      <c r="S60" s="38"/>
    </row>
    <row r="61" spans="1:19" ht="3.75" customHeight="1">
      <c r="A61" s="19"/>
      <c r="K61" s="37"/>
      <c r="M61" s="38"/>
      <c r="N61" s="11"/>
      <c r="O61" s="37"/>
      <c r="Q61" s="23"/>
      <c r="S61" s="38"/>
    </row>
    <row r="62" spans="1:19" ht="15" customHeight="1">
      <c r="A62" s="161" t="s">
        <v>35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</row>
    <row r="63" spans="1:19" ht="15" customHeight="1">
      <c r="A63" s="161" t="s">
        <v>36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73" t="s">
        <v>141</v>
      </c>
      <c r="R63" s="161"/>
      <c r="S63" s="161"/>
    </row>
    <row r="64" spans="1:19" ht="15" customHeight="1" thickBo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R64" s="161"/>
      <c r="S64" s="161"/>
    </row>
    <row r="65" spans="1:19" ht="15" customHeight="1">
      <c r="A65" s="162"/>
      <c r="B65" s="162"/>
      <c r="C65" s="162"/>
      <c r="D65" s="162"/>
      <c r="E65" s="162"/>
      <c r="F65" s="162"/>
      <c r="G65" s="162"/>
      <c r="H65" s="162"/>
      <c r="I65" s="48">
        <v>-1</v>
      </c>
      <c r="J65" s="42"/>
      <c r="K65" s="48">
        <v>-2</v>
      </c>
      <c r="L65" s="42"/>
      <c r="M65" s="48">
        <v>-3</v>
      </c>
      <c r="N65" s="74"/>
      <c r="O65" s="48">
        <v>-4</v>
      </c>
      <c r="P65" s="74"/>
      <c r="Q65" s="48">
        <v>-5</v>
      </c>
      <c r="R65" s="162"/>
      <c r="S65" s="162"/>
    </row>
    <row r="66" spans="1:19" ht="15" customHeight="1">
      <c r="A66" s="162"/>
      <c r="B66" s="162"/>
      <c r="C66" s="162"/>
      <c r="D66" s="162"/>
      <c r="E66" s="162"/>
      <c r="F66" s="162"/>
      <c r="G66" s="162"/>
      <c r="H66" s="162"/>
      <c r="I66" s="302"/>
      <c r="J66" s="74"/>
      <c r="K66" s="302"/>
      <c r="L66" s="74"/>
      <c r="M66" s="303" t="s">
        <v>157</v>
      </c>
      <c r="N66" s="74"/>
      <c r="O66" s="302"/>
      <c r="P66" s="74"/>
      <c r="Q66" s="302"/>
      <c r="R66" s="162"/>
      <c r="S66" s="162"/>
    </row>
    <row r="67" spans="1:19" ht="15" customHeight="1">
      <c r="A67" s="162"/>
      <c r="B67" s="162"/>
      <c r="C67" s="162"/>
      <c r="D67" s="162"/>
      <c r="E67" s="162"/>
      <c r="F67" s="162"/>
      <c r="G67" s="162"/>
      <c r="H67" s="44"/>
      <c r="I67" s="49" t="s">
        <v>159</v>
      </c>
      <c r="J67" s="44"/>
      <c r="K67" s="49" t="s">
        <v>136</v>
      </c>
      <c r="L67" s="45"/>
      <c r="M67" s="50" t="s">
        <v>136</v>
      </c>
      <c r="N67" s="17"/>
      <c r="O67" s="86" t="s">
        <v>1</v>
      </c>
      <c r="P67" s="17"/>
      <c r="Q67" s="50" t="s">
        <v>1</v>
      </c>
      <c r="R67" s="162"/>
      <c r="S67" s="163"/>
    </row>
    <row r="68" spans="1:19" ht="15" customHeight="1">
      <c r="A68" s="162"/>
      <c r="B68" s="162"/>
      <c r="C68" s="162"/>
      <c r="D68" s="162"/>
      <c r="E68" s="162"/>
      <c r="F68" s="162"/>
      <c r="G68" s="162"/>
      <c r="H68" s="12"/>
      <c r="I68" s="49" t="s">
        <v>2</v>
      </c>
      <c r="J68" s="17"/>
      <c r="K68" s="49" t="s">
        <v>2</v>
      </c>
      <c r="L68" s="45"/>
      <c r="M68" s="50" t="s">
        <v>2</v>
      </c>
      <c r="N68" s="17"/>
      <c r="O68" s="86" t="s">
        <v>2</v>
      </c>
      <c r="P68" s="17"/>
      <c r="Q68" s="50" t="s">
        <v>2</v>
      </c>
      <c r="R68" s="162"/>
      <c r="S68" s="163"/>
    </row>
    <row r="69" spans="1:19" ht="15" customHeight="1">
      <c r="A69" s="162"/>
      <c r="B69" s="162"/>
      <c r="C69" s="162"/>
      <c r="D69" s="162"/>
      <c r="E69" s="162"/>
      <c r="F69" s="162"/>
      <c r="G69" s="162"/>
      <c r="H69" s="12"/>
      <c r="I69" s="49" t="s">
        <v>158</v>
      </c>
      <c r="J69" s="17"/>
      <c r="K69" s="49" t="s">
        <v>169</v>
      </c>
      <c r="L69" s="45"/>
      <c r="M69" s="51" t="s">
        <v>138</v>
      </c>
      <c r="N69" s="17"/>
      <c r="O69" s="49" t="s">
        <v>169</v>
      </c>
      <c r="P69" s="17"/>
      <c r="Q69" s="51" t="s">
        <v>138</v>
      </c>
      <c r="R69" s="162"/>
      <c r="S69" s="163"/>
    </row>
    <row r="70" spans="1:19" ht="15" customHeight="1" thickBot="1">
      <c r="A70" s="162"/>
      <c r="B70" s="162"/>
      <c r="C70" s="162"/>
      <c r="D70" s="162"/>
      <c r="E70" s="162"/>
      <c r="F70" s="162"/>
      <c r="G70" s="162"/>
      <c r="H70" s="12"/>
      <c r="I70" s="87" t="s">
        <v>170</v>
      </c>
      <c r="J70" s="47"/>
      <c r="K70" s="87" t="s">
        <v>170</v>
      </c>
      <c r="L70" s="60"/>
      <c r="M70" s="73" t="s">
        <v>170</v>
      </c>
      <c r="N70" s="47"/>
      <c r="O70" s="87" t="s">
        <v>3</v>
      </c>
      <c r="P70" s="12"/>
      <c r="Q70" s="73" t="s">
        <v>3</v>
      </c>
      <c r="R70" s="162"/>
      <c r="S70" s="163"/>
    </row>
    <row r="71" spans="1:19" ht="15" customHeight="1">
      <c r="A71" s="162"/>
      <c r="B71" s="162"/>
      <c r="C71" s="162"/>
      <c r="D71" s="162"/>
      <c r="E71" s="162"/>
      <c r="F71" s="162"/>
      <c r="G71" s="162"/>
      <c r="H71" s="162"/>
      <c r="I71" s="335"/>
      <c r="J71" s="169"/>
      <c r="K71" s="163"/>
      <c r="L71" s="169"/>
      <c r="M71" s="310"/>
      <c r="N71" s="169"/>
      <c r="O71" s="163"/>
      <c r="P71" s="169"/>
      <c r="Q71" s="311"/>
      <c r="R71" s="162"/>
      <c r="S71" s="163"/>
    </row>
    <row r="72" spans="1:19" ht="15" customHeight="1">
      <c r="A72" s="162">
        <v>1</v>
      </c>
      <c r="B72" s="162"/>
      <c r="C72" s="134" t="s">
        <v>26</v>
      </c>
      <c r="D72" s="134"/>
      <c r="E72" s="134"/>
      <c r="F72" s="134"/>
      <c r="G72" s="134"/>
      <c r="H72" s="134"/>
      <c r="I72" s="336"/>
      <c r="J72" s="169"/>
      <c r="K72" s="163"/>
      <c r="L72" s="169"/>
      <c r="M72" s="310"/>
      <c r="N72" s="169"/>
      <c r="O72" s="163"/>
      <c r="P72" s="169"/>
      <c r="Q72" s="311"/>
      <c r="R72" s="162"/>
      <c r="S72" s="163"/>
    </row>
    <row r="73" spans="1:19" ht="15" customHeight="1">
      <c r="A73" s="162"/>
      <c r="B73" s="162"/>
      <c r="C73" s="164" t="s">
        <v>27</v>
      </c>
      <c r="D73" s="164"/>
      <c r="E73" s="164"/>
      <c r="F73" s="164"/>
      <c r="G73" s="164"/>
      <c r="H73" s="164"/>
      <c r="I73" s="337"/>
      <c r="J73" s="169"/>
      <c r="K73" s="163"/>
      <c r="L73" s="169"/>
      <c r="M73" s="310"/>
      <c r="N73" s="169"/>
      <c r="O73" s="163"/>
      <c r="P73" s="169"/>
      <c r="Q73" s="311"/>
      <c r="R73" s="162"/>
      <c r="S73" s="163"/>
    </row>
    <row r="74" spans="1:19" ht="15" customHeight="1">
      <c r="A74" s="162"/>
      <c r="B74" s="162"/>
      <c r="C74" s="162"/>
      <c r="D74" s="162"/>
      <c r="E74" s="162"/>
      <c r="F74" s="162"/>
      <c r="G74" s="162"/>
      <c r="H74" s="162"/>
      <c r="I74" s="335"/>
      <c r="J74" s="169"/>
      <c r="K74" s="163"/>
      <c r="L74" s="169"/>
      <c r="M74" s="310"/>
      <c r="N74" s="169"/>
      <c r="O74" s="163"/>
      <c r="P74" s="169"/>
      <c r="Q74" s="311"/>
      <c r="R74" s="162"/>
      <c r="S74" s="163"/>
    </row>
    <row r="75" spans="1:19" ht="15" customHeight="1">
      <c r="A75" s="162"/>
      <c r="B75" s="162"/>
      <c r="C75" s="162" t="s">
        <v>218</v>
      </c>
      <c r="D75" s="162"/>
      <c r="E75" s="162"/>
      <c r="F75" s="162"/>
      <c r="G75" s="162"/>
      <c r="H75" s="162"/>
      <c r="I75" s="338">
        <v>18544.69</v>
      </c>
      <c r="J75" s="180"/>
      <c r="K75" s="138">
        <v>10879.69</v>
      </c>
      <c r="L75" s="180"/>
      <c r="M75" s="144">
        <v>6551.44</v>
      </c>
      <c r="N75" s="180"/>
      <c r="O75" s="138">
        <v>29424.38</v>
      </c>
      <c r="P75" s="339"/>
      <c r="Q75" s="175">
        <v>25418.43</v>
      </c>
      <c r="R75" s="162"/>
      <c r="S75" s="12"/>
    </row>
    <row r="76" spans="1:19" ht="15" customHeight="1">
      <c r="A76" s="162"/>
      <c r="B76" s="162"/>
      <c r="C76" s="162" t="s">
        <v>28</v>
      </c>
      <c r="D76" s="162"/>
      <c r="E76" s="162"/>
      <c r="F76" s="162"/>
      <c r="G76" s="162"/>
      <c r="H76" s="162"/>
      <c r="I76" s="338">
        <v>3269.87</v>
      </c>
      <c r="J76" s="180"/>
      <c r="K76" s="138">
        <v>1269.35</v>
      </c>
      <c r="L76" s="180"/>
      <c r="M76" s="144">
        <v>1033.4</v>
      </c>
      <c r="N76" s="180"/>
      <c r="O76" s="138">
        <v>4539.22</v>
      </c>
      <c r="P76" s="339"/>
      <c r="Q76" s="175">
        <v>3896.6</v>
      </c>
      <c r="R76" s="162"/>
      <c r="S76" s="12"/>
    </row>
    <row r="77" spans="1:19" ht="15" customHeight="1">
      <c r="A77" s="162"/>
      <c r="B77" s="162"/>
      <c r="C77" s="162" t="s">
        <v>209</v>
      </c>
      <c r="D77" s="162"/>
      <c r="E77" s="162"/>
      <c r="F77" s="162"/>
      <c r="G77" s="162"/>
      <c r="H77" s="162"/>
      <c r="I77" s="338">
        <v>0</v>
      </c>
      <c r="J77" s="180"/>
      <c r="K77" s="138">
        <v>5227.47</v>
      </c>
      <c r="L77" s="180"/>
      <c r="M77" s="144">
        <v>0</v>
      </c>
      <c r="N77" s="180"/>
      <c r="O77" s="138">
        <v>5227.47</v>
      </c>
      <c r="P77" s="339"/>
      <c r="Q77" s="175">
        <v>0</v>
      </c>
      <c r="R77" s="162"/>
      <c r="S77" s="12"/>
    </row>
    <row r="78" spans="1:19" ht="15" customHeight="1" hidden="1">
      <c r="A78" s="162"/>
      <c r="B78" s="162"/>
      <c r="C78" s="162"/>
      <c r="D78" s="162"/>
      <c r="E78" s="162"/>
      <c r="F78" s="162"/>
      <c r="G78" s="162"/>
      <c r="H78" s="162"/>
      <c r="I78" s="338">
        <v>0</v>
      </c>
      <c r="J78" s="180"/>
      <c r="K78" s="138">
        <v>0</v>
      </c>
      <c r="L78" s="180"/>
      <c r="M78" s="144">
        <v>0</v>
      </c>
      <c r="N78" s="180"/>
      <c r="O78" s="138">
        <v>0</v>
      </c>
      <c r="P78" s="339"/>
      <c r="Q78" s="348">
        <v>0</v>
      </c>
      <c r="R78" s="162"/>
      <c r="S78" s="12"/>
    </row>
    <row r="79" spans="1:19" ht="15" customHeight="1">
      <c r="A79" s="162"/>
      <c r="B79" s="162"/>
      <c r="C79" s="162" t="s">
        <v>185</v>
      </c>
      <c r="D79" s="162"/>
      <c r="E79" s="162"/>
      <c r="F79" s="162"/>
      <c r="G79" s="162"/>
      <c r="H79" s="162"/>
      <c r="I79" s="340">
        <v>3273.13</v>
      </c>
      <c r="J79" s="180"/>
      <c r="K79" s="309">
        <v>1862.7</v>
      </c>
      <c r="L79" s="180"/>
      <c r="M79" s="341">
        <v>1207.7</v>
      </c>
      <c r="N79" s="180"/>
      <c r="O79" s="309">
        <v>5135.83</v>
      </c>
      <c r="P79" s="339"/>
      <c r="Q79" s="176">
        <v>3257.33</v>
      </c>
      <c r="R79" s="162"/>
      <c r="S79" s="12"/>
    </row>
    <row r="80" spans="1:19" ht="15" customHeight="1">
      <c r="A80" s="162"/>
      <c r="B80" s="162"/>
      <c r="C80" s="134" t="s">
        <v>37</v>
      </c>
      <c r="D80" s="134"/>
      <c r="E80" s="134"/>
      <c r="F80" s="134"/>
      <c r="G80" s="134"/>
      <c r="H80" s="134"/>
      <c r="I80" s="342">
        <f>SUM(I75:I79)</f>
        <v>25087.69</v>
      </c>
      <c r="J80" s="180"/>
      <c r="K80" s="151">
        <f>SUM(K75:K79)</f>
        <v>19239.210000000003</v>
      </c>
      <c r="L80" s="182"/>
      <c r="M80" s="141">
        <f>SUM(M75:M79)</f>
        <v>8792.54</v>
      </c>
      <c r="N80" s="180"/>
      <c r="O80" s="151">
        <f>SUM(O75:O79)</f>
        <v>44326.9</v>
      </c>
      <c r="P80" s="339"/>
      <c r="Q80" s="177">
        <f>SUM(Q75:Q79)</f>
        <v>32572.36</v>
      </c>
      <c r="R80" s="162"/>
      <c r="S80" s="12"/>
    </row>
    <row r="81" spans="1:19" ht="18" customHeight="1">
      <c r="A81" s="162"/>
      <c r="B81" s="162"/>
      <c r="C81" s="134" t="s">
        <v>29</v>
      </c>
      <c r="D81" s="134"/>
      <c r="E81" s="134"/>
      <c r="F81" s="134"/>
      <c r="G81" s="134"/>
      <c r="H81" s="134"/>
      <c r="I81" s="340">
        <v>63.78</v>
      </c>
      <c r="J81" s="180"/>
      <c r="K81" s="138">
        <v>637.99</v>
      </c>
      <c r="L81" s="180"/>
      <c r="M81" s="341">
        <v>24.65</v>
      </c>
      <c r="N81" s="180"/>
      <c r="O81" s="138">
        <v>701.77</v>
      </c>
      <c r="P81" s="339"/>
      <c r="Q81" s="175">
        <v>69.05</v>
      </c>
      <c r="R81" s="162"/>
      <c r="S81" s="12"/>
    </row>
    <row r="82" spans="1:19" ht="15" customHeight="1" thickBot="1">
      <c r="A82" s="162"/>
      <c r="B82" s="162"/>
      <c r="C82" s="162"/>
      <c r="D82" s="162"/>
      <c r="E82" s="162"/>
      <c r="F82" s="162"/>
      <c r="G82" s="162"/>
      <c r="H82" s="162"/>
      <c r="I82" s="343">
        <f>+I80-I81</f>
        <v>25023.91</v>
      </c>
      <c r="J82" s="180"/>
      <c r="K82" s="183">
        <f>+K80-K81</f>
        <v>18601.22</v>
      </c>
      <c r="L82" s="182"/>
      <c r="M82" s="186">
        <f>+M80-M81</f>
        <v>8767.890000000001</v>
      </c>
      <c r="N82" s="180"/>
      <c r="O82" s="183">
        <f>+O80-O81</f>
        <v>43625.130000000005</v>
      </c>
      <c r="P82" s="339"/>
      <c r="Q82" s="179">
        <f>+Q80-Q81</f>
        <v>32503.31</v>
      </c>
      <c r="R82" s="162"/>
      <c r="S82" s="12"/>
    </row>
    <row r="83" spans="1:19" ht="15" customHeight="1" thickTop="1">
      <c r="A83" s="162"/>
      <c r="B83" s="162"/>
      <c r="C83" s="162"/>
      <c r="D83" s="162"/>
      <c r="E83" s="162"/>
      <c r="F83" s="162"/>
      <c r="G83" s="162"/>
      <c r="H83" s="162"/>
      <c r="I83" s="344"/>
      <c r="J83" s="180"/>
      <c r="K83" s="138"/>
      <c r="L83" s="180"/>
      <c r="M83" s="144"/>
      <c r="N83" s="180"/>
      <c r="O83" s="138"/>
      <c r="P83" s="339"/>
      <c r="Q83" s="175"/>
      <c r="R83" s="162"/>
      <c r="S83" s="12"/>
    </row>
    <row r="84" spans="1:19" ht="15" customHeight="1">
      <c r="A84" s="162">
        <v>2</v>
      </c>
      <c r="B84" s="162"/>
      <c r="C84" s="165" t="s">
        <v>154</v>
      </c>
      <c r="D84" s="165"/>
      <c r="E84" s="165"/>
      <c r="F84" s="165"/>
      <c r="G84" s="165"/>
      <c r="H84" s="165"/>
      <c r="I84" s="344"/>
      <c r="J84" s="180"/>
      <c r="K84" s="138"/>
      <c r="L84" s="180"/>
      <c r="M84" s="144"/>
      <c r="N84" s="180"/>
      <c r="O84" s="138"/>
      <c r="P84" s="339"/>
      <c r="Q84" s="175"/>
      <c r="R84" s="162"/>
      <c r="S84" s="12"/>
    </row>
    <row r="85" spans="1:19" ht="15" customHeight="1">
      <c r="A85" s="162"/>
      <c r="B85" s="162"/>
      <c r="C85" s="164" t="s">
        <v>30</v>
      </c>
      <c r="D85" s="164"/>
      <c r="E85" s="164"/>
      <c r="F85" s="164"/>
      <c r="G85" s="164"/>
      <c r="H85" s="164"/>
      <c r="I85" s="344"/>
      <c r="J85" s="180"/>
      <c r="K85" s="138"/>
      <c r="L85" s="180"/>
      <c r="M85" s="144"/>
      <c r="N85" s="180"/>
      <c r="O85" s="138"/>
      <c r="P85" s="339"/>
      <c r="Q85" s="175"/>
      <c r="R85" s="162"/>
      <c r="S85" s="12"/>
    </row>
    <row r="86" spans="1:19" ht="15" customHeight="1">
      <c r="A86" s="162"/>
      <c r="B86" s="162"/>
      <c r="C86" s="162"/>
      <c r="D86" s="162"/>
      <c r="E86" s="162"/>
      <c r="F86" s="162"/>
      <c r="G86" s="162"/>
      <c r="H86" s="162"/>
      <c r="I86" s="344"/>
      <c r="J86" s="180"/>
      <c r="K86" s="138"/>
      <c r="L86" s="180"/>
      <c r="M86" s="144"/>
      <c r="N86" s="180"/>
      <c r="O86" s="138"/>
      <c r="P86" s="339"/>
      <c r="Q86" s="175"/>
      <c r="R86" s="162"/>
      <c r="S86" s="12"/>
    </row>
    <row r="87" spans="1:19" ht="15" customHeight="1">
      <c r="A87" s="162"/>
      <c r="B87" s="162"/>
      <c r="C87" s="162" t="s">
        <v>218</v>
      </c>
      <c r="D87" s="162"/>
      <c r="E87" s="162"/>
      <c r="F87" s="162"/>
      <c r="G87" s="162"/>
      <c r="H87" s="162"/>
      <c r="I87" s="338">
        <v>681.77</v>
      </c>
      <c r="J87" s="180"/>
      <c r="K87" s="138">
        <v>728.27</v>
      </c>
      <c r="L87" s="180"/>
      <c r="M87" s="144">
        <v>471.7</v>
      </c>
      <c r="N87" s="180"/>
      <c r="O87" s="138">
        <v>1410.04</v>
      </c>
      <c r="P87" s="339"/>
      <c r="Q87" s="175">
        <v>1226.35</v>
      </c>
      <c r="R87" s="162"/>
      <c r="S87" s="12"/>
    </row>
    <row r="88" spans="1:19" ht="15" customHeight="1">
      <c r="A88" s="162"/>
      <c r="B88" s="162"/>
      <c r="C88" s="162" t="s">
        <v>28</v>
      </c>
      <c r="D88" s="162"/>
      <c r="E88" s="162"/>
      <c r="F88" s="162"/>
      <c r="G88" s="162"/>
      <c r="H88" s="162"/>
      <c r="I88" s="338">
        <v>325.47</v>
      </c>
      <c r="J88" s="180"/>
      <c r="K88" s="138">
        <v>70.13</v>
      </c>
      <c r="L88" s="180"/>
      <c r="M88" s="144">
        <v>31.74</v>
      </c>
      <c r="N88" s="180"/>
      <c r="O88" s="138">
        <v>395.6</v>
      </c>
      <c r="P88" s="339"/>
      <c r="Q88" s="175">
        <v>113.81</v>
      </c>
      <c r="R88" s="162"/>
      <c r="S88" s="12"/>
    </row>
    <row r="89" spans="1:19" ht="15" customHeight="1">
      <c r="A89" s="162"/>
      <c r="B89" s="162"/>
      <c r="C89" s="162" t="s">
        <v>209</v>
      </c>
      <c r="D89" s="162"/>
      <c r="E89" s="162"/>
      <c r="F89" s="162"/>
      <c r="G89" s="162"/>
      <c r="H89" s="162"/>
      <c r="I89" s="338">
        <v>0</v>
      </c>
      <c r="J89" s="180"/>
      <c r="K89" s="138">
        <v>276.07</v>
      </c>
      <c r="L89" s="180"/>
      <c r="M89" s="144">
        <v>0</v>
      </c>
      <c r="N89" s="180"/>
      <c r="O89" s="138">
        <v>276.07</v>
      </c>
      <c r="P89" s="339"/>
      <c r="Q89" s="175">
        <v>0</v>
      </c>
      <c r="R89" s="162"/>
      <c r="S89" s="12"/>
    </row>
    <row r="90" spans="1:19" ht="15" customHeight="1" hidden="1">
      <c r="A90" s="162"/>
      <c r="B90" s="162"/>
      <c r="C90" s="162" t="s">
        <v>198</v>
      </c>
      <c r="D90" s="162"/>
      <c r="E90" s="162"/>
      <c r="F90" s="162"/>
      <c r="G90" s="162"/>
      <c r="H90" s="162"/>
      <c r="I90" s="338">
        <v>0</v>
      </c>
      <c r="J90" s="180"/>
      <c r="K90" s="138">
        <v>0</v>
      </c>
      <c r="L90" s="180"/>
      <c r="M90" s="144">
        <v>0</v>
      </c>
      <c r="N90" s="180"/>
      <c r="O90" s="138">
        <v>0</v>
      </c>
      <c r="P90" s="339"/>
      <c r="Q90" s="175">
        <v>0</v>
      </c>
      <c r="R90" s="162"/>
      <c r="S90" s="12"/>
    </row>
    <row r="91" spans="1:19" ht="15" customHeight="1">
      <c r="A91" s="162"/>
      <c r="B91" s="162"/>
      <c r="C91" s="162" t="s">
        <v>185</v>
      </c>
      <c r="D91" s="162"/>
      <c r="E91" s="162"/>
      <c r="F91" s="162"/>
      <c r="G91" s="162"/>
      <c r="H91" s="162"/>
      <c r="I91" s="340">
        <v>401.92</v>
      </c>
      <c r="J91" s="180"/>
      <c r="K91" s="309">
        <v>58.55</v>
      </c>
      <c r="L91" s="180"/>
      <c r="M91" s="341">
        <v>-9.27</v>
      </c>
      <c r="N91" s="180"/>
      <c r="O91" s="181">
        <v>460.47</v>
      </c>
      <c r="P91" s="339"/>
      <c r="Q91" s="176">
        <v>180.03</v>
      </c>
      <c r="R91" s="162"/>
      <c r="S91" s="12"/>
    </row>
    <row r="92" spans="1:19" ht="15" customHeight="1">
      <c r="A92" s="162"/>
      <c r="B92" s="162"/>
      <c r="C92" s="134" t="s">
        <v>37</v>
      </c>
      <c r="D92" s="134"/>
      <c r="E92" s="134"/>
      <c r="F92" s="134"/>
      <c r="G92" s="134"/>
      <c r="H92" s="134"/>
      <c r="I92" s="342">
        <f>SUM(I87:I91)</f>
        <v>1409.16</v>
      </c>
      <c r="J92" s="180"/>
      <c r="K92" s="151">
        <f>SUM(K87:K91)</f>
        <v>1133.02</v>
      </c>
      <c r="L92" s="182"/>
      <c r="M92" s="141">
        <f>SUM(M87:M91)</f>
        <v>494.17</v>
      </c>
      <c r="N92" s="180"/>
      <c r="O92" s="151">
        <f>SUM(O87:O91)</f>
        <v>2542.1800000000003</v>
      </c>
      <c r="P92" s="184"/>
      <c r="Q92" s="177">
        <f>SUM(Q87:Q91)</f>
        <v>1520.1899999999998</v>
      </c>
      <c r="R92" s="162"/>
      <c r="S92" s="12"/>
    </row>
    <row r="93" spans="1:19" ht="15" customHeight="1">
      <c r="A93" s="162"/>
      <c r="B93" s="162"/>
      <c r="C93" s="161"/>
      <c r="D93" s="161"/>
      <c r="E93" s="161"/>
      <c r="F93" s="161"/>
      <c r="G93" s="161"/>
      <c r="H93" s="161"/>
      <c r="I93" s="344"/>
      <c r="J93" s="180"/>
      <c r="K93" s="138"/>
      <c r="L93" s="180"/>
      <c r="M93" s="144"/>
      <c r="N93" s="180"/>
      <c r="O93" s="138"/>
      <c r="P93" s="184"/>
      <c r="Q93" s="178"/>
      <c r="R93" s="162"/>
      <c r="S93" s="12"/>
    </row>
    <row r="94" spans="1:19" ht="15" customHeight="1">
      <c r="A94" s="162"/>
      <c r="B94" s="162"/>
      <c r="C94" s="134" t="s">
        <v>40</v>
      </c>
      <c r="D94" s="134"/>
      <c r="E94" s="134"/>
      <c r="F94" s="134"/>
      <c r="G94" s="134"/>
      <c r="H94" s="134"/>
      <c r="I94" s="338">
        <v>435.54</v>
      </c>
      <c r="J94" s="180"/>
      <c r="K94" s="138">
        <v>317.17</v>
      </c>
      <c r="L94" s="180"/>
      <c r="M94" s="144">
        <v>116.55</v>
      </c>
      <c r="N94" s="180"/>
      <c r="O94" s="138">
        <v>752.71</v>
      </c>
      <c r="P94" s="184"/>
      <c r="Q94" s="178">
        <v>565.87</v>
      </c>
      <c r="R94" s="162"/>
      <c r="S94" s="12"/>
    </row>
    <row r="95" spans="1:19" ht="15" customHeight="1">
      <c r="A95" s="162"/>
      <c r="B95" s="162"/>
      <c r="C95" s="162"/>
      <c r="D95" s="162"/>
      <c r="E95" s="162"/>
      <c r="F95" s="162"/>
      <c r="G95" s="162"/>
      <c r="H95" s="162"/>
      <c r="I95" s="340"/>
      <c r="J95" s="180"/>
      <c r="K95" s="181"/>
      <c r="L95" s="180"/>
      <c r="M95" s="185"/>
      <c r="N95" s="180"/>
      <c r="O95" s="181"/>
      <c r="P95" s="184"/>
      <c r="Q95" s="178"/>
      <c r="R95" s="162"/>
      <c r="S95" s="12"/>
    </row>
    <row r="96" spans="1:19" ht="15" customHeight="1" thickBot="1">
      <c r="A96" s="162"/>
      <c r="B96" s="162"/>
      <c r="C96" s="161" t="s">
        <v>31</v>
      </c>
      <c r="D96" s="161"/>
      <c r="E96" s="161"/>
      <c r="F96" s="161"/>
      <c r="G96" s="161"/>
      <c r="H96" s="161"/>
      <c r="I96" s="343">
        <f>+I92-I94</f>
        <v>973.6200000000001</v>
      </c>
      <c r="J96" s="180"/>
      <c r="K96" s="183">
        <f>+K92-K94</f>
        <v>815.8499999999999</v>
      </c>
      <c r="L96" s="182"/>
      <c r="M96" s="186">
        <f>+M92-M94</f>
        <v>377.62</v>
      </c>
      <c r="N96" s="180"/>
      <c r="O96" s="183">
        <f>+O92-O94</f>
        <v>1789.4700000000003</v>
      </c>
      <c r="P96" s="184"/>
      <c r="Q96" s="179">
        <f>+Q92-Q94</f>
        <v>954.3199999999998</v>
      </c>
      <c r="R96" s="162"/>
      <c r="S96" s="12"/>
    </row>
    <row r="97" spans="1:19" ht="9" customHeight="1" thickTop="1">
      <c r="A97" s="162"/>
      <c r="B97" s="162"/>
      <c r="C97" s="162"/>
      <c r="D97" s="162"/>
      <c r="E97" s="162"/>
      <c r="F97" s="162"/>
      <c r="G97" s="162"/>
      <c r="H97" s="162"/>
      <c r="I97" s="344"/>
      <c r="J97" s="180"/>
      <c r="K97" s="138"/>
      <c r="L97" s="180"/>
      <c r="M97" s="144"/>
      <c r="N97" s="180"/>
      <c r="O97" s="138"/>
      <c r="P97" s="184"/>
      <c r="Q97" s="178"/>
      <c r="R97" s="162"/>
      <c r="S97" s="12"/>
    </row>
    <row r="98" spans="1:19" ht="15" customHeight="1">
      <c r="A98" s="162">
        <v>3</v>
      </c>
      <c r="B98" s="162"/>
      <c r="C98" s="134" t="s">
        <v>32</v>
      </c>
      <c r="D98" s="134"/>
      <c r="E98" s="134"/>
      <c r="F98" s="134"/>
      <c r="G98" s="134"/>
      <c r="H98" s="134"/>
      <c r="I98" s="344"/>
      <c r="J98" s="180"/>
      <c r="K98" s="138"/>
      <c r="L98" s="180"/>
      <c r="M98" s="144"/>
      <c r="N98" s="180"/>
      <c r="O98" s="138"/>
      <c r="P98" s="184"/>
      <c r="Q98" s="178"/>
      <c r="R98" s="162"/>
      <c r="S98" s="12"/>
    </row>
    <row r="99" spans="1:19" ht="15" customHeight="1">
      <c r="A99" s="162"/>
      <c r="B99" s="162"/>
      <c r="C99" s="161" t="s">
        <v>33</v>
      </c>
      <c r="D99" s="161"/>
      <c r="E99" s="161"/>
      <c r="F99" s="161"/>
      <c r="G99" s="161"/>
      <c r="H99" s="161"/>
      <c r="I99" s="344"/>
      <c r="J99" s="180"/>
      <c r="K99" s="138"/>
      <c r="L99" s="180"/>
      <c r="M99" s="144"/>
      <c r="N99" s="180"/>
      <c r="O99" s="138"/>
      <c r="P99" s="184"/>
      <c r="Q99" s="178"/>
      <c r="R99" s="162"/>
      <c r="S99" s="12"/>
    </row>
    <row r="100" spans="1:19" ht="15" customHeight="1">
      <c r="A100" s="162"/>
      <c r="B100" s="162"/>
      <c r="C100" s="162"/>
      <c r="D100" s="162"/>
      <c r="E100" s="162"/>
      <c r="F100" s="162"/>
      <c r="G100" s="162"/>
      <c r="H100" s="162"/>
      <c r="I100" s="344"/>
      <c r="J100" s="180"/>
      <c r="K100" s="138"/>
      <c r="L100" s="180"/>
      <c r="M100" s="144"/>
      <c r="N100" s="180"/>
      <c r="O100" s="138"/>
      <c r="P100" s="184"/>
      <c r="Q100" s="178"/>
      <c r="R100" s="162"/>
      <c r="S100" s="12"/>
    </row>
    <row r="101" spans="1:19" ht="15" customHeight="1">
      <c r="A101" s="162"/>
      <c r="B101" s="162"/>
      <c r="C101" s="162" t="s">
        <v>218</v>
      </c>
      <c r="D101" s="162"/>
      <c r="E101" s="162"/>
      <c r="F101" s="162"/>
      <c r="G101" s="162"/>
      <c r="H101" s="162"/>
      <c r="I101" s="344">
        <v>17704.73</v>
      </c>
      <c r="J101" s="180"/>
      <c r="K101" s="138">
        <v>22372.06</v>
      </c>
      <c r="L101" s="180"/>
      <c r="M101" s="144">
        <v>15482.81</v>
      </c>
      <c r="N101" s="180"/>
      <c r="O101" s="138">
        <v>22372.06</v>
      </c>
      <c r="P101" s="184"/>
      <c r="Q101" s="178">
        <v>15482.81</v>
      </c>
      <c r="R101" s="162"/>
      <c r="S101" s="12"/>
    </row>
    <row r="102" spans="1:19" ht="15" customHeight="1">
      <c r="A102" s="162"/>
      <c r="B102" s="162"/>
      <c r="C102" s="162" t="s">
        <v>28</v>
      </c>
      <c r="D102" s="162"/>
      <c r="E102" s="162"/>
      <c r="F102" s="162"/>
      <c r="G102" s="162"/>
      <c r="H102" s="162"/>
      <c r="I102" s="344">
        <v>3934.14</v>
      </c>
      <c r="J102" s="180"/>
      <c r="K102" s="138">
        <v>4126.48</v>
      </c>
      <c r="L102" s="180"/>
      <c r="M102" s="144">
        <v>3728.38</v>
      </c>
      <c r="N102" s="180"/>
      <c r="O102" s="138">
        <v>4126.48</v>
      </c>
      <c r="P102" s="184"/>
      <c r="Q102" s="178">
        <v>3728.38</v>
      </c>
      <c r="R102" s="162"/>
      <c r="S102" s="12"/>
    </row>
    <row r="103" spans="1:19" ht="15" customHeight="1">
      <c r="A103" s="162"/>
      <c r="B103" s="162"/>
      <c r="C103" s="162" t="s">
        <v>209</v>
      </c>
      <c r="D103" s="162"/>
      <c r="E103" s="162"/>
      <c r="F103" s="162"/>
      <c r="G103" s="162"/>
      <c r="H103" s="162"/>
      <c r="I103" s="344">
        <v>0</v>
      </c>
      <c r="J103" s="180"/>
      <c r="K103" s="138">
        <v>1069.14</v>
      </c>
      <c r="L103" s="180"/>
      <c r="M103" s="144">
        <v>0</v>
      </c>
      <c r="N103" s="180"/>
      <c r="O103" s="138">
        <v>1069.14</v>
      </c>
      <c r="P103" s="184"/>
      <c r="Q103" s="178">
        <v>0</v>
      </c>
      <c r="R103" s="162"/>
      <c r="S103" s="12"/>
    </row>
    <row r="104" spans="1:19" ht="15" customHeight="1" hidden="1">
      <c r="A104" s="162"/>
      <c r="B104" s="162"/>
      <c r="C104" s="162"/>
      <c r="D104" s="162"/>
      <c r="E104" s="162"/>
      <c r="F104" s="162"/>
      <c r="G104" s="162"/>
      <c r="H104" s="162"/>
      <c r="I104" s="344">
        <v>0</v>
      </c>
      <c r="J104" s="180"/>
      <c r="K104" s="138">
        <v>0</v>
      </c>
      <c r="L104" s="180"/>
      <c r="M104" s="144">
        <v>0</v>
      </c>
      <c r="N104" s="180"/>
      <c r="O104" s="138">
        <v>0</v>
      </c>
      <c r="P104" s="184"/>
      <c r="Q104" s="178">
        <v>0</v>
      </c>
      <c r="R104" s="162"/>
      <c r="S104" s="12"/>
    </row>
    <row r="105" spans="1:19" ht="15" customHeight="1">
      <c r="A105" s="162"/>
      <c r="B105" s="162"/>
      <c r="C105" s="162" t="s">
        <v>185</v>
      </c>
      <c r="D105" s="162"/>
      <c r="E105" s="162"/>
      <c r="F105" s="162"/>
      <c r="G105" s="162"/>
      <c r="H105" s="162"/>
      <c r="I105" s="344">
        <v>948.56</v>
      </c>
      <c r="J105" s="180"/>
      <c r="K105" s="138">
        <v>510.24</v>
      </c>
      <c r="L105" s="180"/>
      <c r="M105" s="144">
        <v>1898.47</v>
      </c>
      <c r="N105" s="180"/>
      <c r="O105" s="138">
        <v>510.24</v>
      </c>
      <c r="P105" s="184"/>
      <c r="Q105" s="178">
        <v>1898.47</v>
      </c>
      <c r="R105" s="162"/>
      <c r="S105" s="12"/>
    </row>
    <row r="106" spans="1:19" ht="15" customHeight="1" thickBot="1">
      <c r="A106" s="162"/>
      <c r="B106" s="162"/>
      <c r="C106" s="162"/>
      <c r="D106" s="162"/>
      <c r="E106" s="162"/>
      <c r="F106" s="162"/>
      <c r="G106" s="162"/>
      <c r="H106" s="162"/>
      <c r="I106" s="343">
        <f>SUM(I101:I105)</f>
        <v>22587.43</v>
      </c>
      <c r="J106" s="180"/>
      <c r="K106" s="183">
        <f>SUM(K101:K105)</f>
        <v>28077.920000000002</v>
      </c>
      <c r="L106" s="182"/>
      <c r="M106" s="186">
        <f>SUM(M101:M105)</f>
        <v>21109.66</v>
      </c>
      <c r="N106" s="180"/>
      <c r="O106" s="183">
        <f>SUM(O101:O105)</f>
        <v>28077.920000000002</v>
      </c>
      <c r="P106" s="184"/>
      <c r="Q106" s="179">
        <f>SUM(Q101:Q105)</f>
        <v>21109.66</v>
      </c>
      <c r="R106" s="162"/>
      <c r="S106" s="12"/>
    </row>
    <row r="107" spans="1:19" ht="15" customHeight="1" thickBot="1" thickTop="1">
      <c r="A107" s="162"/>
      <c r="B107" s="162"/>
      <c r="C107" s="162"/>
      <c r="D107" s="162"/>
      <c r="E107" s="162"/>
      <c r="F107" s="162"/>
      <c r="G107" s="162"/>
      <c r="H107" s="162"/>
      <c r="I107" s="345"/>
      <c r="J107" s="170"/>
      <c r="K107" s="72"/>
      <c r="L107" s="171"/>
      <c r="M107" s="187"/>
      <c r="N107" s="170"/>
      <c r="O107" s="168"/>
      <c r="P107" s="172"/>
      <c r="Q107" s="174"/>
      <c r="R107" s="162"/>
      <c r="S107" s="12"/>
    </row>
    <row r="108" spans="1:19" ht="15" customHeight="1">
      <c r="A108" s="136"/>
      <c r="B108" s="136"/>
      <c r="C108" s="136"/>
      <c r="D108" s="136"/>
      <c r="E108" s="136"/>
      <c r="F108" s="136"/>
      <c r="G108" s="136"/>
      <c r="H108" s="136"/>
      <c r="I108" s="332"/>
      <c r="J108" s="136"/>
      <c r="K108" s="99"/>
      <c r="L108" s="136"/>
      <c r="M108" s="99"/>
      <c r="N108" s="136"/>
      <c r="O108" s="166"/>
      <c r="P108" s="167"/>
      <c r="Q108" s="334"/>
      <c r="R108" s="136"/>
      <c r="S108" s="99"/>
    </row>
    <row r="109" spans="1:19" ht="4.5" customHeight="1">
      <c r="A109" s="136"/>
      <c r="B109" s="136"/>
      <c r="C109" s="136"/>
      <c r="D109" s="136"/>
      <c r="E109" s="136"/>
      <c r="F109" s="136"/>
      <c r="G109" s="136"/>
      <c r="H109" s="136"/>
      <c r="I109" s="332"/>
      <c r="J109" s="136"/>
      <c r="K109" s="99"/>
      <c r="L109" s="136"/>
      <c r="N109" s="136"/>
      <c r="O109" s="90"/>
      <c r="P109" s="167"/>
      <c r="R109" s="136"/>
      <c r="S109" s="99"/>
    </row>
    <row r="110" spans="1:19" ht="15" customHeight="1">
      <c r="A110" s="136"/>
      <c r="B110" s="136"/>
      <c r="C110" s="162"/>
      <c r="D110" s="162"/>
      <c r="E110" s="162"/>
      <c r="F110" s="162"/>
      <c r="G110" s="162"/>
      <c r="H110" s="162"/>
      <c r="I110" s="333"/>
      <c r="J110" s="162"/>
      <c r="K110" s="4"/>
      <c r="L110" s="162"/>
      <c r="N110" s="162"/>
      <c r="O110" s="90"/>
      <c r="P110" s="312"/>
      <c r="Q110" s="90"/>
      <c r="R110" s="136"/>
      <c r="S110" s="99"/>
    </row>
    <row r="111" spans="1:19" ht="15" customHeight="1">
      <c r="A111" s="19"/>
      <c r="C111" s="350" t="s">
        <v>208</v>
      </c>
      <c r="D111" s="162"/>
      <c r="E111" s="162"/>
      <c r="F111" s="162"/>
      <c r="G111" s="162"/>
      <c r="H111" s="162"/>
      <c r="I111" s="333"/>
      <c r="J111" s="162"/>
      <c r="K111" s="4"/>
      <c r="L111" s="162"/>
      <c r="N111" s="162"/>
      <c r="O111" s="90"/>
      <c r="P111" s="312"/>
      <c r="Q111" s="90"/>
      <c r="R111" s="136"/>
      <c r="S111" s="99"/>
    </row>
    <row r="112" spans="1:19" ht="15" customHeight="1">
      <c r="A112" s="19"/>
      <c r="C112" s="350" t="s">
        <v>223</v>
      </c>
      <c r="D112" s="162"/>
      <c r="E112" s="162"/>
      <c r="F112" s="162"/>
      <c r="G112" s="162"/>
      <c r="H112" s="162"/>
      <c r="I112" s="333"/>
      <c r="J112" s="162"/>
      <c r="K112" s="4"/>
      <c r="L112" s="162"/>
      <c r="N112" s="162"/>
      <c r="O112" s="90"/>
      <c r="P112" s="312"/>
      <c r="Q112" s="90"/>
      <c r="R112" s="136"/>
      <c r="S112" s="99"/>
    </row>
    <row r="113" spans="1:19" ht="15" customHeight="1">
      <c r="A113" s="136"/>
      <c r="B113" s="136"/>
      <c r="C113" s="350" t="s">
        <v>224</v>
      </c>
      <c r="D113" s="162"/>
      <c r="E113" s="162"/>
      <c r="F113" s="162"/>
      <c r="G113" s="162"/>
      <c r="H113" s="162"/>
      <c r="I113" s="333"/>
      <c r="J113" s="162"/>
      <c r="K113" s="4"/>
      <c r="L113" s="162"/>
      <c r="N113" s="162"/>
      <c r="O113" s="90"/>
      <c r="P113" s="312"/>
      <c r="Q113" s="90"/>
      <c r="R113" s="136"/>
      <c r="S113" s="99"/>
    </row>
    <row r="114" spans="1:19" ht="15" customHeight="1">
      <c r="A114" s="136"/>
      <c r="B114" s="136"/>
      <c r="C114" s="162"/>
      <c r="D114" s="162"/>
      <c r="E114" s="162"/>
      <c r="F114" s="162"/>
      <c r="G114" s="162"/>
      <c r="H114" s="162"/>
      <c r="I114" s="333"/>
      <c r="J114" s="162"/>
      <c r="K114" s="4"/>
      <c r="L114" s="162"/>
      <c r="N114" s="162"/>
      <c r="O114" s="90"/>
      <c r="P114" s="312"/>
      <c r="Q114" s="90"/>
      <c r="R114" s="136"/>
      <c r="S114" s="99"/>
    </row>
    <row r="115" spans="1:19" ht="15" customHeight="1">
      <c r="A115" s="136"/>
      <c r="B115" s="136"/>
      <c r="C115" s="350"/>
      <c r="D115" s="162"/>
      <c r="E115" s="162"/>
      <c r="F115" s="162"/>
      <c r="G115" s="162"/>
      <c r="H115" s="162"/>
      <c r="I115" s="333"/>
      <c r="J115" s="162"/>
      <c r="K115" s="4"/>
      <c r="L115" s="162"/>
      <c r="N115" s="162"/>
      <c r="O115" s="90"/>
      <c r="P115" s="312"/>
      <c r="Q115" s="90"/>
      <c r="R115" s="136"/>
      <c r="S115" s="99"/>
    </row>
    <row r="116" spans="1:19" ht="15" customHeight="1">
      <c r="A116" s="136"/>
      <c r="B116" s="136"/>
      <c r="C116" s="350"/>
      <c r="D116" s="162"/>
      <c r="E116" s="162"/>
      <c r="F116" s="162"/>
      <c r="G116" s="162"/>
      <c r="H116" s="162"/>
      <c r="I116" s="333"/>
      <c r="J116" s="162"/>
      <c r="K116" s="4"/>
      <c r="L116" s="162"/>
      <c r="N116" s="162"/>
      <c r="O116" s="90"/>
      <c r="P116" s="312"/>
      <c r="Q116" s="90"/>
      <c r="R116" s="136"/>
      <c r="S116" s="99"/>
    </row>
    <row r="117" spans="1:19" ht="15" customHeight="1">
      <c r="A117" s="136"/>
      <c r="B117" s="136"/>
      <c r="C117" s="162"/>
      <c r="D117" s="162"/>
      <c r="E117" s="162"/>
      <c r="F117" s="162"/>
      <c r="G117" s="162"/>
      <c r="H117" s="162"/>
      <c r="I117" s="333"/>
      <c r="J117" s="162"/>
      <c r="K117" s="4"/>
      <c r="L117" s="162"/>
      <c r="N117" s="162"/>
      <c r="O117" s="90"/>
      <c r="P117" s="312"/>
      <c r="Q117" s="90"/>
      <c r="R117" s="136"/>
      <c r="S117" s="99"/>
    </row>
    <row r="118" spans="1:19" ht="15" customHeight="1">
      <c r="A118" s="136"/>
      <c r="B118" s="136"/>
      <c r="C118" s="162"/>
      <c r="D118" s="162"/>
      <c r="E118" s="162"/>
      <c r="F118" s="162"/>
      <c r="G118" s="162"/>
      <c r="H118" s="162"/>
      <c r="I118" s="162"/>
      <c r="J118" s="162"/>
      <c r="K118" s="4"/>
      <c r="L118" s="162"/>
      <c r="N118" s="162"/>
      <c r="O118" s="90"/>
      <c r="P118" s="312"/>
      <c r="Q118" s="90" t="s">
        <v>34</v>
      </c>
      <c r="R118" s="136"/>
      <c r="S118" s="99"/>
    </row>
    <row r="119" spans="1:19" ht="12" customHeight="1">
      <c r="A119" s="136"/>
      <c r="B119" s="136"/>
      <c r="C119" s="162"/>
      <c r="D119" s="162"/>
      <c r="E119" s="162"/>
      <c r="F119" s="162"/>
      <c r="G119" s="162"/>
      <c r="H119" s="162"/>
      <c r="I119" s="162"/>
      <c r="J119" s="162"/>
      <c r="K119" s="4"/>
      <c r="L119" s="162"/>
      <c r="N119" s="162"/>
      <c r="O119" s="90"/>
      <c r="P119" s="312"/>
      <c r="Q119" s="90"/>
      <c r="R119" s="136"/>
      <c r="S119" s="99"/>
    </row>
    <row r="120" spans="1:19" ht="15.75">
      <c r="A120" s="20" t="s">
        <v>135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5"/>
      <c r="N120" s="25"/>
      <c r="O120" s="24"/>
      <c r="P120" s="24"/>
      <c r="Q120" s="24"/>
      <c r="R120" s="24"/>
      <c r="S120" s="24"/>
    </row>
    <row r="121" spans="1:19" ht="15.75">
      <c r="A121" s="194">
        <v>1</v>
      </c>
      <c r="B121" s="24"/>
      <c r="C121" s="13" t="s">
        <v>147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5"/>
      <c r="N121" s="25"/>
      <c r="O121" s="24"/>
      <c r="P121" s="24"/>
      <c r="Q121" s="24"/>
      <c r="R121" s="24"/>
      <c r="S121" s="24"/>
    </row>
    <row r="122" spans="1:19" ht="6.75" customHeight="1">
      <c r="A122" s="20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5"/>
      <c r="N122" s="25"/>
      <c r="O122" s="24"/>
      <c r="P122" s="24"/>
      <c r="Q122" s="24"/>
      <c r="R122" s="24"/>
      <c r="S122" s="24"/>
    </row>
    <row r="123" spans="1:19" ht="15.75">
      <c r="A123" s="215">
        <f>+A121+1</f>
        <v>2</v>
      </c>
      <c r="C123" s="216" t="s">
        <v>199</v>
      </c>
      <c r="D123" s="216"/>
      <c r="E123" s="216"/>
      <c r="F123" s="216"/>
      <c r="G123" s="216"/>
      <c r="H123" s="216"/>
      <c r="I123" s="216"/>
      <c r="J123" s="4"/>
      <c r="K123" s="4"/>
      <c r="L123" s="4"/>
      <c r="M123" s="4"/>
      <c r="N123" s="4"/>
      <c r="O123" s="4"/>
      <c r="P123" s="4"/>
      <c r="Q123" s="4"/>
      <c r="R123" s="5"/>
      <c r="S123" s="5"/>
    </row>
    <row r="124" spans="1:19" ht="15.75">
      <c r="A124" s="215"/>
      <c r="C124" s="216" t="s">
        <v>200</v>
      </c>
      <c r="D124" s="216"/>
      <c r="E124" s="216"/>
      <c r="F124" s="216"/>
      <c r="G124" s="216"/>
      <c r="H124" s="216"/>
      <c r="I124" s="216"/>
      <c r="J124" s="4"/>
      <c r="K124" s="4"/>
      <c r="L124" s="4"/>
      <c r="M124" s="4"/>
      <c r="N124" s="4"/>
      <c r="O124" s="4"/>
      <c r="P124" s="4"/>
      <c r="Q124" s="4"/>
      <c r="R124" s="5"/>
      <c r="S124" s="5"/>
    </row>
    <row r="125" spans="1:19" ht="15.75">
      <c r="A125" s="215"/>
      <c r="C125" s="216" t="s">
        <v>210</v>
      </c>
      <c r="D125" s="216"/>
      <c r="E125" s="216"/>
      <c r="F125" s="216"/>
      <c r="G125" s="216"/>
      <c r="H125" s="216"/>
      <c r="I125" s="216"/>
      <c r="J125" s="4"/>
      <c r="K125" s="4"/>
      <c r="L125" s="4"/>
      <c r="M125" s="4"/>
      <c r="N125" s="4"/>
      <c r="O125" s="4"/>
      <c r="P125" s="4"/>
      <c r="Q125" s="4"/>
      <c r="R125" s="5"/>
      <c r="S125" s="5"/>
    </row>
    <row r="126" spans="1:19" ht="15.75">
      <c r="A126" s="215"/>
      <c r="C126" s="216" t="s">
        <v>212</v>
      </c>
      <c r="D126" s="216"/>
      <c r="E126" s="216"/>
      <c r="F126" s="216"/>
      <c r="G126" s="216"/>
      <c r="H126" s="216"/>
      <c r="I126" s="216"/>
      <c r="J126" s="4"/>
      <c r="K126" s="4"/>
      <c r="L126" s="4"/>
      <c r="M126" s="4"/>
      <c r="N126" s="4"/>
      <c r="O126" s="4"/>
      <c r="P126" s="4"/>
      <c r="Q126" s="4"/>
      <c r="R126" s="5"/>
      <c r="S126" s="5"/>
    </row>
    <row r="127" spans="1:19" ht="15.75">
      <c r="A127" s="215"/>
      <c r="C127" s="216" t="s">
        <v>211</v>
      </c>
      <c r="D127" s="216"/>
      <c r="E127" s="216"/>
      <c r="F127" s="216"/>
      <c r="G127" s="216"/>
      <c r="H127" s="216"/>
      <c r="I127" s="216"/>
      <c r="J127" s="4"/>
      <c r="K127" s="4"/>
      <c r="L127" s="4"/>
      <c r="M127" s="4"/>
      <c r="N127" s="4"/>
      <c r="O127" s="4"/>
      <c r="P127" s="4"/>
      <c r="Q127" s="4"/>
      <c r="R127" s="5"/>
      <c r="S127" s="5"/>
    </row>
    <row r="128" spans="1:19" ht="6.75" customHeight="1">
      <c r="A128" s="215"/>
      <c r="C128" s="216"/>
      <c r="D128" s="216"/>
      <c r="E128" s="216"/>
      <c r="F128" s="216"/>
      <c r="G128" s="216"/>
      <c r="H128" s="216"/>
      <c r="I128" s="216"/>
      <c r="J128" s="4"/>
      <c r="K128" s="4"/>
      <c r="L128" s="4"/>
      <c r="M128" s="4"/>
      <c r="N128" s="4"/>
      <c r="O128" s="4"/>
      <c r="P128" s="4"/>
      <c r="Q128" s="4"/>
      <c r="R128" s="5"/>
      <c r="S128" s="5"/>
    </row>
    <row r="129" spans="1:19" ht="15.75">
      <c r="A129" s="215">
        <v>3</v>
      </c>
      <c r="C129" s="216" t="s">
        <v>166</v>
      </c>
      <c r="D129" s="216"/>
      <c r="E129" s="216"/>
      <c r="F129" s="216"/>
      <c r="G129" s="216"/>
      <c r="H129" s="216"/>
      <c r="I129" s="216"/>
      <c r="J129" s="4"/>
      <c r="K129" s="4"/>
      <c r="L129" s="4"/>
      <c r="M129" s="4"/>
      <c r="N129" s="4"/>
      <c r="O129" s="4"/>
      <c r="P129" s="4"/>
      <c r="Q129" s="4"/>
      <c r="R129" s="5"/>
      <c r="S129" s="5"/>
    </row>
    <row r="130" spans="1:19" ht="15.75">
      <c r="A130" s="215"/>
      <c r="C130" s="216" t="s">
        <v>167</v>
      </c>
      <c r="D130" s="216"/>
      <c r="E130" s="216"/>
      <c r="F130" s="216"/>
      <c r="G130" s="216"/>
      <c r="H130" s="216"/>
      <c r="I130" s="216"/>
      <c r="J130" s="4"/>
      <c r="K130" s="4"/>
      <c r="L130" s="4"/>
      <c r="M130" s="4"/>
      <c r="N130" s="4"/>
      <c r="O130" s="4"/>
      <c r="P130" s="4"/>
      <c r="Q130" s="4"/>
      <c r="R130" s="5"/>
      <c r="S130" s="5"/>
    </row>
    <row r="131" spans="1:19" ht="15.75">
      <c r="A131" s="215"/>
      <c r="C131" s="216" t="s">
        <v>165</v>
      </c>
      <c r="D131" s="216"/>
      <c r="E131" s="216"/>
      <c r="F131" s="216"/>
      <c r="G131" s="216"/>
      <c r="H131" s="216"/>
      <c r="I131" s="216"/>
      <c r="J131" s="4"/>
      <c r="K131" s="4"/>
      <c r="L131" s="4"/>
      <c r="M131" s="4"/>
      <c r="N131" s="4"/>
      <c r="O131" s="4"/>
      <c r="P131" s="4"/>
      <c r="Q131" s="4"/>
      <c r="R131" s="5"/>
      <c r="S131" s="5"/>
    </row>
    <row r="132" spans="1:19" ht="15.75">
      <c r="A132" s="215"/>
      <c r="C132" s="216" t="s">
        <v>206</v>
      </c>
      <c r="D132" s="216"/>
      <c r="E132" s="216"/>
      <c r="F132" s="216"/>
      <c r="G132" s="216"/>
      <c r="H132" s="216"/>
      <c r="I132" s="216"/>
      <c r="J132" s="4"/>
      <c r="K132" s="4"/>
      <c r="L132" s="4"/>
      <c r="M132" s="4"/>
      <c r="N132" s="4"/>
      <c r="O132" s="4"/>
      <c r="P132" s="4"/>
      <c r="Q132" s="4"/>
      <c r="R132" s="5"/>
      <c r="S132" s="5"/>
    </row>
    <row r="133" spans="1:19" ht="15.75">
      <c r="A133" s="215"/>
      <c r="C133" s="216" t="s">
        <v>239</v>
      </c>
      <c r="D133" s="216"/>
      <c r="E133" s="216"/>
      <c r="F133" s="216"/>
      <c r="G133" s="216"/>
      <c r="H133" s="216"/>
      <c r="I133" s="216"/>
      <c r="J133" s="4"/>
      <c r="K133" s="4"/>
      <c r="L133" s="4"/>
      <c r="M133" s="4"/>
      <c r="N133" s="4"/>
      <c r="O133" s="4"/>
      <c r="P133" s="4"/>
      <c r="Q133" s="4"/>
      <c r="R133" s="5"/>
      <c r="S133" s="5"/>
    </row>
    <row r="134" spans="1:19" ht="15" customHeight="1" hidden="1">
      <c r="A134" s="215"/>
      <c r="C134" s="216"/>
      <c r="D134" s="216"/>
      <c r="E134" s="216"/>
      <c r="F134" s="216"/>
      <c r="G134" s="216"/>
      <c r="H134" s="216"/>
      <c r="I134" s="216"/>
      <c r="J134" s="4"/>
      <c r="K134" s="4"/>
      <c r="L134" s="4"/>
      <c r="M134" s="4"/>
      <c r="N134" s="4"/>
      <c r="O134" s="4"/>
      <c r="P134" s="4"/>
      <c r="Q134" s="4"/>
      <c r="R134" s="5"/>
      <c r="S134" s="5"/>
    </row>
    <row r="135" spans="1:19" ht="15" customHeight="1" hidden="1">
      <c r="A135" s="215"/>
      <c r="C135" s="216"/>
      <c r="D135" s="216"/>
      <c r="E135" s="216"/>
      <c r="F135" s="216"/>
      <c r="G135" s="216"/>
      <c r="H135" s="216"/>
      <c r="I135" s="216"/>
      <c r="J135" s="4"/>
      <c r="K135" s="4"/>
      <c r="L135" s="4"/>
      <c r="M135" s="4"/>
      <c r="N135" s="4"/>
      <c r="O135" s="4"/>
      <c r="P135" s="4"/>
      <c r="Q135" s="4"/>
      <c r="R135" s="5"/>
      <c r="S135" s="5"/>
    </row>
    <row r="136" spans="1:19" ht="6.75" customHeight="1">
      <c r="A136" s="215"/>
      <c r="C136" s="216"/>
      <c r="D136" s="216"/>
      <c r="E136" s="216"/>
      <c r="F136" s="216"/>
      <c r="G136" s="216"/>
      <c r="H136" s="216"/>
      <c r="I136" s="216"/>
      <c r="J136" s="4"/>
      <c r="K136" s="4"/>
      <c r="L136" s="4"/>
      <c r="M136" s="4"/>
      <c r="N136" s="4"/>
      <c r="O136" s="4"/>
      <c r="P136" s="4"/>
      <c r="Q136" s="4"/>
      <c r="R136" s="5"/>
      <c r="S136" s="5"/>
    </row>
    <row r="137" spans="1:19" ht="15.75">
      <c r="A137" s="215">
        <v>4</v>
      </c>
      <c r="C137" s="216" t="s">
        <v>168</v>
      </c>
      <c r="D137" s="216"/>
      <c r="E137" s="216"/>
      <c r="F137" s="216"/>
      <c r="G137" s="216"/>
      <c r="H137" s="216"/>
      <c r="I137" s="216"/>
      <c r="J137" s="4"/>
      <c r="K137" s="4"/>
      <c r="L137" s="4"/>
      <c r="M137" s="4"/>
      <c r="N137" s="4"/>
      <c r="O137" s="4"/>
      <c r="P137" s="4"/>
      <c r="Q137" s="4"/>
      <c r="R137" s="5"/>
      <c r="S137" s="5"/>
    </row>
    <row r="138" spans="1:19" ht="15.75">
      <c r="A138" s="215"/>
      <c r="C138" s="216" t="s">
        <v>162</v>
      </c>
      <c r="D138" s="216"/>
      <c r="E138" s="216"/>
      <c r="F138" s="216"/>
      <c r="G138" s="216"/>
      <c r="H138" s="216"/>
      <c r="I138" s="216"/>
      <c r="J138" s="4"/>
      <c r="K138" s="4"/>
      <c r="L138" s="4"/>
      <c r="M138" s="4"/>
      <c r="N138" s="4"/>
      <c r="O138" s="4"/>
      <c r="P138" s="4"/>
      <c r="Q138" s="4"/>
      <c r="R138" s="5"/>
      <c r="S138" s="5"/>
    </row>
    <row r="139" spans="1:19" ht="6.75" customHeight="1">
      <c r="A139" s="215"/>
      <c r="C139" s="216"/>
      <c r="D139" s="216"/>
      <c r="E139" s="216"/>
      <c r="F139" s="216"/>
      <c r="G139" s="216"/>
      <c r="H139" s="216"/>
      <c r="I139" s="216"/>
      <c r="J139" s="4"/>
      <c r="K139" s="4"/>
      <c r="L139" s="4"/>
      <c r="M139" s="4"/>
      <c r="N139" s="4"/>
      <c r="O139" s="4"/>
      <c r="P139" s="4"/>
      <c r="Q139" s="4"/>
      <c r="R139" s="5"/>
      <c r="S139" s="5"/>
    </row>
    <row r="140" spans="1:19" ht="15.75">
      <c r="A140" s="194">
        <f>+A137+1</f>
        <v>5</v>
      </c>
      <c r="B140" s="11"/>
      <c r="C140" s="196" t="s">
        <v>225</v>
      </c>
      <c r="D140" s="196"/>
      <c r="E140" s="196"/>
      <c r="F140" s="196"/>
      <c r="G140" s="196"/>
      <c r="H140" s="196"/>
      <c r="I140" s="196"/>
      <c r="J140" s="196"/>
      <c r="K140" s="196"/>
      <c r="L140" s="197"/>
      <c r="M140" s="197"/>
      <c r="N140" s="196"/>
      <c r="O140" s="196"/>
      <c r="P140" s="196"/>
      <c r="Q140" s="196"/>
      <c r="R140" s="5"/>
      <c r="S140" s="5"/>
    </row>
    <row r="141" spans="1:19" ht="15.75">
      <c r="A141" s="194"/>
      <c r="B141" s="11"/>
      <c r="C141" s="196" t="s">
        <v>235</v>
      </c>
      <c r="D141" s="196"/>
      <c r="E141" s="196"/>
      <c r="F141" s="196"/>
      <c r="G141" s="196"/>
      <c r="H141" s="196"/>
      <c r="I141" s="196"/>
      <c r="J141" s="196"/>
      <c r="K141" s="196"/>
      <c r="L141" s="197"/>
      <c r="M141" s="197"/>
      <c r="N141" s="196"/>
      <c r="O141" s="196"/>
      <c r="P141" s="196"/>
      <c r="Q141" s="196"/>
      <c r="R141" s="5"/>
      <c r="S141" s="5"/>
    </row>
    <row r="142" spans="1:19" ht="15.75">
      <c r="A142" s="198"/>
      <c r="B142" s="11"/>
      <c r="C142" s="196" t="s">
        <v>236</v>
      </c>
      <c r="D142" s="196"/>
      <c r="E142" s="196"/>
      <c r="F142" s="196"/>
      <c r="G142" s="196"/>
      <c r="H142" s="196"/>
      <c r="I142" s="196"/>
      <c r="J142" s="196"/>
      <c r="K142" s="196"/>
      <c r="L142" s="197"/>
      <c r="M142" s="197"/>
      <c r="N142" s="196"/>
      <c r="O142" s="196"/>
      <c r="P142" s="196"/>
      <c r="Q142" s="196"/>
      <c r="R142" s="5"/>
      <c r="S142" s="5"/>
    </row>
    <row r="143" spans="1:19" ht="6.75" customHeight="1" hidden="1">
      <c r="A143" s="198"/>
      <c r="B143" s="11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5"/>
      <c r="S143" s="5"/>
    </row>
    <row r="144" spans="1:19" ht="15" customHeight="1" hidden="1">
      <c r="A144" s="195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4"/>
      <c r="S144" s="4"/>
    </row>
    <row r="145" spans="1:19" ht="15" customHeight="1">
      <c r="A145" s="195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4"/>
      <c r="S145" s="4"/>
    </row>
    <row r="146" spans="1:19" ht="15" customHeight="1">
      <c r="A146" s="195"/>
      <c r="C146" s="199"/>
      <c r="D146" s="199"/>
      <c r="E146" s="199"/>
      <c r="F146" s="199"/>
      <c r="G146" s="355" t="s">
        <v>233</v>
      </c>
      <c r="H146" s="355"/>
      <c r="I146" s="355"/>
      <c r="L146" s="200"/>
      <c r="M146" s="202"/>
      <c r="N146" s="200"/>
      <c r="O146" s="200"/>
      <c r="P146" s="196"/>
      <c r="Q146" s="196"/>
      <c r="R146" s="4"/>
      <c r="S146" s="4"/>
    </row>
    <row r="147" spans="1:19" ht="15" customHeight="1">
      <c r="A147" s="195"/>
      <c r="C147" s="199"/>
      <c r="D147" s="199"/>
      <c r="E147" s="23" t="s">
        <v>52</v>
      </c>
      <c r="F147" s="199"/>
      <c r="G147" s="300" t="s">
        <v>153</v>
      </c>
      <c r="H147" s="200"/>
      <c r="I147" s="203" t="s">
        <v>234</v>
      </c>
      <c r="K147" s="201" t="s">
        <v>142</v>
      </c>
      <c r="L147" s="200"/>
      <c r="M147" s="200" t="s">
        <v>143</v>
      </c>
      <c r="P147" s="200"/>
      <c r="Q147" s="200"/>
      <c r="R147" s="196"/>
      <c r="S147" s="196"/>
    </row>
    <row r="148" spans="1:19" ht="15" customHeight="1" thickBot="1">
      <c r="A148" s="195"/>
      <c r="C148" s="204" t="s">
        <v>144</v>
      </c>
      <c r="D148" s="203"/>
      <c r="E148" s="81" t="s">
        <v>145</v>
      </c>
      <c r="F148" s="203"/>
      <c r="G148" s="351" t="s">
        <v>145</v>
      </c>
      <c r="H148" s="200"/>
      <c r="I148" s="204" t="s">
        <v>146</v>
      </c>
      <c r="K148" s="204" t="s">
        <v>146</v>
      </c>
      <c r="L148" s="200"/>
      <c r="M148" s="205" t="s">
        <v>180</v>
      </c>
      <c r="P148" s="206"/>
      <c r="Q148" s="206"/>
      <c r="R148" s="35"/>
      <c r="S148" s="35"/>
    </row>
    <row r="149" spans="1:19" ht="15" customHeight="1">
      <c r="A149" s="195"/>
      <c r="C149" s="199"/>
      <c r="D149" s="199"/>
      <c r="E149" s="36"/>
      <c r="F149" s="199"/>
      <c r="G149" s="36"/>
      <c r="H149" s="196"/>
      <c r="I149" s="202"/>
      <c r="K149" s="201"/>
      <c r="L149" s="196"/>
      <c r="M149" s="196"/>
      <c r="P149" s="196"/>
      <c r="Q149" s="196"/>
      <c r="R149" s="196"/>
      <c r="S149" s="196"/>
    </row>
    <row r="150" spans="1:19" ht="15" customHeight="1">
      <c r="A150" s="195"/>
      <c r="C150" s="207" t="s">
        <v>228</v>
      </c>
      <c r="D150" s="207"/>
      <c r="E150" s="210">
        <v>4371.42</v>
      </c>
      <c r="F150" s="207"/>
      <c r="G150" s="210">
        <v>2222.62</v>
      </c>
      <c r="H150" s="196"/>
      <c r="I150" s="209">
        <v>4371.42</v>
      </c>
      <c r="K150" s="209">
        <f>+E150-I150</f>
        <v>0</v>
      </c>
      <c r="L150" s="210"/>
      <c r="M150" s="36" t="s">
        <v>177</v>
      </c>
      <c r="P150" s="196"/>
      <c r="Q150" s="196"/>
      <c r="R150" s="196"/>
      <c r="S150" s="196"/>
    </row>
    <row r="151" spans="1:19" ht="15" customHeight="1">
      <c r="A151" s="195"/>
      <c r="C151" s="207" t="s">
        <v>227</v>
      </c>
      <c r="D151" s="207"/>
      <c r="E151" s="208"/>
      <c r="F151" s="207"/>
      <c r="G151" s="208"/>
      <c r="H151" s="196"/>
      <c r="I151" s="209"/>
      <c r="K151" s="209"/>
      <c r="L151" s="210"/>
      <c r="M151" s="36" t="s">
        <v>178</v>
      </c>
      <c r="P151" s="196"/>
      <c r="Q151" s="196"/>
      <c r="R151" s="196"/>
      <c r="S151" s="196"/>
    </row>
    <row r="152" spans="1:19" ht="15" customHeight="1">
      <c r="A152" s="195"/>
      <c r="C152" s="207" t="s">
        <v>229</v>
      </c>
      <c r="D152" s="207"/>
      <c r="E152" s="36"/>
      <c r="F152" s="207"/>
      <c r="G152" s="36"/>
      <c r="H152" s="196"/>
      <c r="I152" s="209"/>
      <c r="K152" s="211"/>
      <c r="L152" s="210"/>
      <c r="M152" s="36" t="s">
        <v>214</v>
      </c>
      <c r="P152" s="196"/>
      <c r="Q152" s="196"/>
      <c r="R152" s="196"/>
      <c r="S152" s="196"/>
    </row>
    <row r="153" spans="1:19" ht="15" customHeight="1">
      <c r="A153" s="195"/>
      <c r="C153" s="207" t="s">
        <v>156</v>
      </c>
      <c r="D153" s="207"/>
      <c r="E153" s="36"/>
      <c r="F153" s="207"/>
      <c r="G153" s="36"/>
      <c r="H153" s="196"/>
      <c r="I153" s="209"/>
      <c r="K153" s="211"/>
      <c r="L153" s="210"/>
      <c r="M153" s="36" t="s">
        <v>215</v>
      </c>
      <c r="P153" s="196"/>
      <c r="Q153" s="196"/>
      <c r="R153" s="196"/>
      <c r="S153" s="196"/>
    </row>
    <row r="154" spans="1:19" ht="15" customHeight="1">
      <c r="A154" s="195"/>
      <c r="C154" s="207"/>
      <c r="D154" s="207"/>
      <c r="E154" s="36"/>
      <c r="F154" s="207"/>
      <c r="G154" s="36"/>
      <c r="H154" s="196"/>
      <c r="I154" s="209"/>
      <c r="K154" s="210"/>
      <c r="L154" s="210"/>
      <c r="M154" s="36" t="s">
        <v>179</v>
      </c>
      <c r="P154" s="196"/>
      <c r="Q154" s="196"/>
      <c r="R154" s="196"/>
      <c r="S154" s="196"/>
    </row>
    <row r="155" spans="1:13" ht="15" customHeight="1">
      <c r="A155" s="195"/>
      <c r="C155" s="207"/>
      <c r="D155" s="207"/>
      <c r="E155" s="36"/>
      <c r="F155" s="207"/>
      <c r="G155" s="36"/>
      <c r="H155" s="196"/>
      <c r="I155" s="209"/>
      <c r="K155" s="210"/>
      <c r="L155" s="210"/>
      <c r="M155" s="196" t="s">
        <v>213</v>
      </c>
    </row>
    <row r="156" spans="1:13" ht="15" customHeight="1">
      <c r="A156" s="195"/>
      <c r="C156" s="207"/>
      <c r="D156" s="207"/>
      <c r="E156" s="36"/>
      <c r="F156" s="207"/>
      <c r="G156" s="36"/>
      <c r="H156" s="196"/>
      <c r="I156" s="209"/>
      <c r="K156" s="210"/>
      <c r="L156" s="210"/>
      <c r="M156" s="196" t="s">
        <v>216</v>
      </c>
    </row>
    <row r="157" spans="1:13" ht="15" customHeight="1">
      <c r="A157" s="195"/>
      <c r="C157" s="207"/>
      <c r="D157" s="207"/>
      <c r="E157" s="36"/>
      <c r="F157" s="207"/>
      <c r="G157" s="36"/>
      <c r="H157" s="196"/>
      <c r="I157" s="209"/>
      <c r="K157" s="212"/>
      <c r="L157" s="210"/>
      <c r="M157" s="196" t="s">
        <v>217</v>
      </c>
    </row>
    <row r="158" spans="1:13" ht="15" customHeight="1">
      <c r="A158" s="195"/>
      <c r="C158" s="207"/>
      <c r="D158" s="207"/>
      <c r="E158" s="36"/>
      <c r="F158" s="207"/>
      <c r="G158" s="36"/>
      <c r="H158" s="196"/>
      <c r="I158" s="209"/>
      <c r="K158" s="210"/>
      <c r="L158" s="210"/>
      <c r="M158" s="196"/>
    </row>
    <row r="159" spans="1:19" ht="6.75" customHeight="1">
      <c r="A159" s="195"/>
      <c r="C159" s="207"/>
      <c r="D159" s="207"/>
      <c r="E159" s="36"/>
      <c r="F159" s="207"/>
      <c r="G159" s="36"/>
      <c r="H159" s="196"/>
      <c r="I159" s="209"/>
      <c r="K159" s="210"/>
      <c r="L159" s="210"/>
      <c r="M159" s="196"/>
      <c r="P159" s="196"/>
      <c r="Q159" s="196"/>
      <c r="R159" s="196"/>
      <c r="S159" s="196"/>
    </row>
    <row r="160" spans="1:19" ht="15" customHeight="1">
      <c r="A160" s="195"/>
      <c r="C160" s="207" t="s">
        <v>231</v>
      </c>
      <c r="D160" s="207"/>
      <c r="E160" s="36">
        <v>847.5</v>
      </c>
      <c r="F160" s="207"/>
      <c r="G160" s="208">
        <v>0</v>
      </c>
      <c r="H160" s="196"/>
      <c r="I160" s="209">
        <v>0</v>
      </c>
      <c r="K160" s="209">
        <f>+E160-G160-I160</f>
        <v>847.5</v>
      </c>
      <c r="L160" s="210"/>
      <c r="M160" s="196" t="s">
        <v>181</v>
      </c>
      <c r="P160" s="196"/>
      <c r="Q160" s="196"/>
      <c r="R160" s="196"/>
      <c r="S160" s="196"/>
    </row>
    <row r="161" spans="1:19" ht="15" customHeight="1">
      <c r="A161" s="195"/>
      <c r="C161" s="207" t="s">
        <v>230</v>
      </c>
      <c r="D161" s="207"/>
      <c r="E161" s="36"/>
      <c r="F161" s="207"/>
      <c r="G161" s="36"/>
      <c r="H161" s="196"/>
      <c r="I161" s="202"/>
      <c r="K161" s="213"/>
      <c r="L161" s="196"/>
      <c r="M161" s="196" t="s">
        <v>182</v>
      </c>
      <c r="P161" s="196"/>
      <c r="Q161" s="196"/>
      <c r="R161" s="196"/>
      <c r="S161" s="196"/>
    </row>
    <row r="162" spans="1:19" ht="15" customHeight="1">
      <c r="A162" s="195"/>
      <c r="C162" s="207" t="s">
        <v>232</v>
      </c>
      <c r="D162" s="207"/>
      <c r="F162" s="207"/>
      <c r="H162" s="196"/>
      <c r="I162" s="202"/>
      <c r="K162" s="213"/>
      <c r="L162" s="196"/>
      <c r="M162" s="196" t="s">
        <v>183</v>
      </c>
      <c r="P162" s="196"/>
      <c r="Q162" s="196"/>
      <c r="R162" s="196"/>
      <c r="S162" s="196"/>
    </row>
    <row r="163" spans="1:19" ht="15" customHeight="1">
      <c r="A163" s="195"/>
      <c r="C163" s="207"/>
      <c r="D163" s="207"/>
      <c r="F163" s="207"/>
      <c r="H163" s="196"/>
      <c r="I163" s="202"/>
      <c r="K163" s="213"/>
      <c r="L163" s="196"/>
      <c r="M163" s="196" t="s">
        <v>184</v>
      </c>
      <c r="P163" s="196"/>
      <c r="Q163" s="196"/>
      <c r="R163" s="196"/>
      <c r="S163" s="196"/>
    </row>
    <row r="164" spans="1:19" ht="6.75" customHeight="1">
      <c r="A164" s="195"/>
      <c r="C164" s="214"/>
      <c r="D164" s="214"/>
      <c r="E164" s="214"/>
      <c r="F164" s="214"/>
      <c r="H164" s="196"/>
      <c r="I164" s="202"/>
      <c r="K164" s="213"/>
      <c r="L164" s="196"/>
      <c r="N164" s="196"/>
      <c r="O164" s="196"/>
      <c r="P164" s="196"/>
      <c r="Q164" s="196"/>
      <c r="R164" s="5"/>
      <c r="S164" s="5"/>
    </row>
    <row r="165" spans="1:19" ht="15.75" hidden="1">
      <c r="A165" s="215"/>
      <c r="C165" s="216" t="s">
        <v>199</v>
      </c>
      <c r="D165" s="216"/>
      <c r="E165" s="216"/>
      <c r="F165" s="216"/>
      <c r="G165" s="216"/>
      <c r="H165" s="216"/>
      <c r="I165" s="216"/>
      <c r="J165" s="4"/>
      <c r="K165" s="4"/>
      <c r="L165" s="4"/>
      <c r="M165" s="4"/>
      <c r="N165" s="4"/>
      <c r="O165" s="4"/>
      <c r="P165" s="4"/>
      <c r="Q165" s="4"/>
      <c r="R165" s="5"/>
      <c r="S165" s="5"/>
    </row>
    <row r="166" spans="1:19" ht="15.75" hidden="1">
      <c r="A166" s="215"/>
      <c r="C166" s="216" t="s">
        <v>200</v>
      </c>
      <c r="D166" s="216"/>
      <c r="E166" s="216"/>
      <c r="F166" s="216"/>
      <c r="G166" s="216"/>
      <c r="H166" s="216"/>
      <c r="I166" s="216"/>
      <c r="J166" s="4"/>
      <c r="K166" s="4"/>
      <c r="L166" s="4"/>
      <c r="M166" s="4"/>
      <c r="N166" s="4"/>
      <c r="O166" s="4"/>
      <c r="P166" s="4"/>
      <c r="Q166" s="4"/>
      <c r="R166" s="5"/>
      <c r="S166" s="5"/>
    </row>
    <row r="167" spans="1:19" ht="15.75" hidden="1">
      <c r="A167" s="215"/>
      <c r="C167" s="216" t="s">
        <v>210</v>
      </c>
      <c r="D167" s="216"/>
      <c r="E167" s="216"/>
      <c r="F167" s="216"/>
      <c r="G167" s="216"/>
      <c r="H167" s="216"/>
      <c r="I167" s="216"/>
      <c r="J167" s="4"/>
      <c r="K167" s="4"/>
      <c r="L167" s="4"/>
      <c r="M167" s="4"/>
      <c r="N167" s="4"/>
      <c r="O167" s="4"/>
      <c r="P167" s="4"/>
      <c r="Q167" s="4"/>
      <c r="R167" s="5"/>
      <c r="S167" s="5"/>
    </row>
    <row r="168" spans="1:19" ht="15.75" hidden="1">
      <c r="A168" s="215"/>
      <c r="C168" s="216" t="s">
        <v>212</v>
      </c>
      <c r="D168" s="216"/>
      <c r="E168" s="216"/>
      <c r="F168" s="216"/>
      <c r="G168" s="216"/>
      <c r="H168" s="216"/>
      <c r="I168" s="216"/>
      <c r="J168" s="4"/>
      <c r="K168" s="4"/>
      <c r="L168" s="4"/>
      <c r="M168" s="4"/>
      <c r="N168" s="4"/>
      <c r="O168" s="4"/>
      <c r="P168" s="4"/>
      <c r="Q168" s="4"/>
      <c r="R168" s="5"/>
      <c r="S168" s="5"/>
    </row>
    <row r="169" spans="1:19" ht="15.75" hidden="1">
      <c r="A169" s="215"/>
      <c r="C169" s="216" t="s">
        <v>211</v>
      </c>
      <c r="D169" s="216"/>
      <c r="E169" s="216"/>
      <c r="F169" s="216"/>
      <c r="G169" s="216"/>
      <c r="H169" s="216"/>
      <c r="I169" s="216"/>
      <c r="J169" s="4"/>
      <c r="K169" s="4"/>
      <c r="L169" s="4"/>
      <c r="M169" s="4"/>
      <c r="N169" s="4"/>
      <c r="O169" s="4"/>
      <c r="P169" s="4"/>
      <c r="Q169" s="4"/>
      <c r="R169" s="5"/>
      <c r="S169" s="5"/>
    </row>
    <row r="170" spans="1:19" ht="6.75" customHeight="1" hidden="1">
      <c r="A170" s="215"/>
      <c r="C170" s="216"/>
      <c r="D170" s="216"/>
      <c r="E170" s="216"/>
      <c r="F170" s="216"/>
      <c r="G170" s="216"/>
      <c r="H170" s="216"/>
      <c r="I170" s="216"/>
      <c r="J170" s="4"/>
      <c r="K170" s="4"/>
      <c r="L170" s="4"/>
      <c r="M170" s="4"/>
      <c r="N170" s="4"/>
      <c r="O170" s="4"/>
      <c r="P170" s="4"/>
      <c r="Q170" s="4"/>
      <c r="R170" s="5"/>
      <c r="S170" s="5"/>
    </row>
    <row r="171" spans="1:19" ht="15.75">
      <c r="A171" s="215">
        <f>+A140+1</f>
        <v>6</v>
      </c>
      <c r="C171" s="162" t="s">
        <v>237</v>
      </c>
      <c r="D171" s="162"/>
      <c r="E171" s="162"/>
      <c r="F171" s="162"/>
      <c r="G171" s="162"/>
      <c r="H171" s="134"/>
      <c r="I171" s="135"/>
      <c r="J171" s="5"/>
      <c r="K171" s="5"/>
      <c r="L171" s="5"/>
      <c r="M171" s="5"/>
      <c r="N171" s="5"/>
      <c r="O171" s="5"/>
      <c r="P171" s="5"/>
      <c r="Q171" s="5"/>
      <c r="R171" s="5"/>
      <c r="S171" s="25"/>
    </row>
    <row r="172" spans="1:19" ht="15.75">
      <c r="A172" s="215"/>
      <c r="C172" s="162" t="s">
        <v>238</v>
      </c>
      <c r="D172" s="162"/>
      <c r="E172" s="162"/>
      <c r="F172" s="162"/>
      <c r="G172" s="162"/>
      <c r="H172" s="134"/>
      <c r="I172" s="135"/>
      <c r="J172" s="5"/>
      <c r="K172" s="5"/>
      <c r="L172" s="5"/>
      <c r="M172" s="5"/>
      <c r="N172" s="5"/>
      <c r="O172" s="5"/>
      <c r="P172" s="5"/>
      <c r="Q172" s="5"/>
      <c r="R172" s="5"/>
      <c r="S172" s="25"/>
    </row>
    <row r="173" spans="1:19" ht="15.75">
      <c r="A173" s="215"/>
      <c r="C173" s="162" t="s">
        <v>174</v>
      </c>
      <c r="D173" s="162"/>
      <c r="E173" s="162"/>
      <c r="F173" s="162"/>
      <c r="G173" s="162"/>
      <c r="H173" s="134"/>
      <c r="I173" s="134"/>
      <c r="J173" s="5"/>
      <c r="K173" s="5"/>
      <c r="L173" s="5"/>
      <c r="M173" s="5"/>
      <c r="N173" s="5"/>
      <c r="O173" s="5"/>
      <c r="P173" s="5"/>
      <c r="Q173" s="5"/>
      <c r="R173" s="5"/>
      <c r="S173" s="25"/>
    </row>
    <row r="174" spans="1:19" ht="6.75" customHeight="1">
      <c r="A174" s="215"/>
      <c r="C174" s="27"/>
      <c r="D174" s="27"/>
      <c r="E174" s="27"/>
      <c r="F174" s="27"/>
      <c r="G174" s="27"/>
      <c r="H174" s="28"/>
      <c r="I174" s="28"/>
      <c r="J174" s="5"/>
      <c r="K174" s="5"/>
      <c r="L174" s="5"/>
      <c r="M174" s="5"/>
      <c r="N174" s="5"/>
      <c r="O174" s="5"/>
      <c r="P174" s="5"/>
      <c r="Q174" s="5"/>
      <c r="R174" s="5"/>
      <c r="S174" s="25"/>
    </row>
    <row r="175" spans="1:19" ht="15.75">
      <c r="A175" s="194">
        <f>+A171+1</f>
        <v>7</v>
      </c>
      <c r="B175" s="4"/>
      <c r="C175" s="13" t="s">
        <v>205</v>
      </c>
      <c r="D175" s="13"/>
      <c r="E175" s="13"/>
      <c r="F175" s="13"/>
      <c r="G175" s="13"/>
      <c r="H175" s="26"/>
      <c r="I175" s="26"/>
      <c r="J175" s="5"/>
      <c r="K175" s="5"/>
      <c r="L175" s="5"/>
      <c r="M175" s="5"/>
      <c r="N175" s="5"/>
      <c r="O175" s="5"/>
      <c r="P175" s="5"/>
      <c r="Q175" s="5"/>
      <c r="R175" s="5"/>
      <c r="S175" s="25"/>
    </row>
    <row r="176" spans="1:19" ht="6.75" customHeight="1">
      <c r="A176" s="215"/>
      <c r="D176" s="27"/>
      <c r="E176" s="27"/>
      <c r="F176" s="27"/>
      <c r="G176" s="27"/>
      <c r="H176" s="28"/>
      <c r="I176" s="28"/>
      <c r="J176" s="5"/>
      <c r="K176" s="5"/>
      <c r="L176" s="5"/>
      <c r="M176" s="5"/>
      <c r="N176" s="5"/>
      <c r="O176" s="5"/>
      <c r="P176" s="5"/>
      <c r="Q176" s="5"/>
      <c r="R176" s="5"/>
      <c r="S176" s="25"/>
    </row>
    <row r="177" spans="1:19" ht="15" customHeight="1">
      <c r="A177" s="194">
        <f>+A175+1</f>
        <v>8</v>
      </c>
      <c r="B177" s="4"/>
      <c r="C177" s="12" t="s">
        <v>175</v>
      </c>
      <c r="D177" s="12"/>
      <c r="E177" s="12"/>
      <c r="F177" s="12"/>
      <c r="G177" s="12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5"/>
      <c r="S177" s="5"/>
    </row>
    <row r="178" spans="1:19" ht="15" customHeight="1">
      <c r="A178" s="21"/>
      <c r="B178" s="4"/>
      <c r="C178" s="12" t="s">
        <v>176</v>
      </c>
      <c r="D178" s="12"/>
      <c r="E178" s="12"/>
      <c r="F178" s="12"/>
      <c r="G178" s="12"/>
      <c r="H178" s="9"/>
      <c r="I178" s="12"/>
      <c r="J178" s="12"/>
      <c r="K178" s="12"/>
      <c r="L178" s="12"/>
      <c r="M178" s="15"/>
      <c r="N178" s="9"/>
      <c r="O178" s="217"/>
      <c r="P178" s="9"/>
      <c r="Q178" s="9"/>
      <c r="R178" s="5"/>
      <c r="S178" s="5"/>
    </row>
    <row r="179" spans="1:19" ht="15" customHeight="1">
      <c r="A179" s="21"/>
      <c r="B179" s="4"/>
      <c r="C179" s="12" t="s">
        <v>160</v>
      </c>
      <c r="D179" s="12"/>
      <c r="E179" s="12"/>
      <c r="F179" s="12"/>
      <c r="G179" s="12"/>
      <c r="H179" s="9"/>
      <c r="I179" s="12"/>
      <c r="J179" s="12"/>
      <c r="K179" s="12"/>
      <c r="L179" s="12"/>
      <c r="M179" s="218"/>
      <c r="N179" s="9"/>
      <c r="O179" s="217"/>
      <c r="P179" s="9"/>
      <c r="Q179" s="9"/>
      <c r="R179" s="5"/>
      <c r="S179" s="5"/>
    </row>
    <row r="180" spans="2:19" ht="15.75" customHeight="1">
      <c r="B180" s="4"/>
      <c r="C180" s="4"/>
      <c r="D180" s="4"/>
      <c r="E180" s="4"/>
      <c r="F180" s="4"/>
      <c r="G180" s="4"/>
      <c r="H180" s="5"/>
      <c r="I180" s="5"/>
      <c r="J180" s="5"/>
      <c r="K180" s="4"/>
      <c r="L180" s="4"/>
      <c r="M180" s="13"/>
      <c r="N180" s="5"/>
      <c r="O180" s="5"/>
      <c r="P180" s="5"/>
      <c r="Q180" s="5"/>
      <c r="R180" s="5"/>
      <c r="S180" s="5"/>
    </row>
    <row r="181" spans="1:19" ht="15.75">
      <c r="A181" s="352" t="s">
        <v>258</v>
      </c>
      <c r="B181" s="4"/>
      <c r="D181" s="4"/>
      <c r="E181" s="4"/>
      <c r="F181" s="4"/>
      <c r="G181" s="4"/>
      <c r="H181" s="5"/>
      <c r="I181" s="5"/>
      <c r="J181" s="5"/>
      <c r="K181" s="4"/>
      <c r="L181" s="4"/>
      <c r="M181" s="13"/>
      <c r="N181" s="5"/>
      <c r="O181" s="5"/>
      <c r="P181" s="5"/>
      <c r="Q181" s="5"/>
      <c r="R181" s="5"/>
      <c r="S181" s="5"/>
    </row>
    <row r="182" spans="1:19" ht="15.75">
      <c r="A182" s="4" t="s">
        <v>260</v>
      </c>
      <c r="B182" s="4"/>
      <c r="D182" s="4"/>
      <c r="E182" s="4"/>
      <c r="F182" s="4"/>
      <c r="G182" s="4"/>
      <c r="H182" s="5"/>
      <c r="I182" s="5"/>
      <c r="J182" s="5"/>
      <c r="K182" s="4"/>
      <c r="L182" s="4"/>
      <c r="M182" s="13"/>
      <c r="N182" s="5"/>
      <c r="O182" s="5"/>
      <c r="P182" s="5"/>
      <c r="Q182" s="5"/>
      <c r="R182" s="5"/>
      <c r="S182" s="5"/>
    </row>
    <row r="183" spans="1:19" ht="15.75">
      <c r="A183" s="4" t="s">
        <v>261</v>
      </c>
      <c r="B183" s="4"/>
      <c r="D183" s="4"/>
      <c r="E183" s="4"/>
      <c r="F183" s="4"/>
      <c r="G183" s="4"/>
      <c r="H183" s="5"/>
      <c r="I183" s="5"/>
      <c r="J183" s="5"/>
      <c r="K183" s="4"/>
      <c r="L183" s="4"/>
      <c r="M183" s="13"/>
      <c r="N183" s="5"/>
      <c r="O183" s="5"/>
      <c r="P183" s="5"/>
      <c r="Q183" s="5"/>
      <c r="R183" s="5"/>
      <c r="S183" s="5"/>
    </row>
    <row r="184" spans="1:19" ht="15.75">
      <c r="A184" s="4" t="s">
        <v>259</v>
      </c>
      <c r="B184" s="4"/>
      <c r="D184" s="4"/>
      <c r="E184" s="4"/>
      <c r="F184" s="4"/>
      <c r="G184" s="4"/>
      <c r="H184" s="5"/>
      <c r="I184" s="5"/>
      <c r="J184" s="5"/>
      <c r="K184" s="4"/>
      <c r="L184" s="4"/>
      <c r="M184" s="13"/>
      <c r="N184" s="5"/>
      <c r="O184" s="5"/>
      <c r="P184" s="5"/>
      <c r="Q184" s="5"/>
      <c r="R184" s="5"/>
      <c r="S184" s="5"/>
    </row>
    <row r="185" spans="1:19" ht="15.75">
      <c r="A185" s="4"/>
      <c r="B185" s="4"/>
      <c r="D185" s="4"/>
      <c r="E185" s="4"/>
      <c r="F185" s="4"/>
      <c r="G185" s="4"/>
      <c r="H185" s="5"/>
      <c r="I185" s="5"/>
      <c r="J185" s="5"/>
      <c r="K185" s="4"/>
      <c r="L185" s="4"/>
      <c r="M185" s="13"/>
      <c r="N185" s="5"/>
      <c r="O185" s="5"/>
      <c r="P185" s="5"/>
      <c r="Q185" s="5"/>
      <c r="R185" s="5"/>
      <c r="S185" s="5"/>
    </row>
    <row r="186" spans="1:19" ht="15.75">
      <c r="A186" s="4"/>
      <c r="B186" s="4"/>
      <c r="D186" s="4"/>
      <c r="E186" s="4"/>
      <c r="F186" s="4"/>
      <c r="G186" s="4"/>
      <c r="H186" s="5"/>
      <c r="I186" s="5"/>
      <c r="J186" s="5"/>
      <c r="K186" s="4"/>
      <c r="L186" s="4"/>
      <c r="M186" s="13"/>
      <c r="N186" s="5"/>
      <c r="O186" s="5"/>
      <c r="P186" s="5"/>
      <c r="Q186" s="5"/>
      <c r="R186" s="5"/>
      <c r="S186" s="5"/>
    </row>
    <row r="187" spans="1:19" ht="15.75">
      <c r="A187" s="4"/>
      <c r="B187" s="4"/>
      <c r="D187" s="4"/>
      <c r="E187" s="4"/>
      <c r="F187" s="4"/>
      <c r="G187" s="4"/>
      <c r="H187" s="5"/>
      <c r="I187" s="5"/>
      <c r="J187" s="5"/>
      <c r="K187" s="4"/>
      <c r="L187" s="4"/>
      <c r="M187" s="13"/>
      <c r="N187" s="5"/>
      <c r="O187" s="5"/>
      <c r="P187" s="5"/>
      <c r="Q187" s="5"/>
      <c r="R187" s="5"/>
      <c r="S187" s="5"/>
    </row>
    <row r="188" spans="1:19" ht="15" customHeight="1">
      <c r="A188" s="21"/>
      <c r="B188" s="4"/>
      <c r="C188" s="27"/>
      <c r="D188" s="4"/>
      <c r="E188" s="4"/>
      <c r="F188" s="4"/>
      <c r="G188" s="4"/>
      <c r="H188" s="5"/>
      <c r="I188" s="5"/>
      <c r="J188" s="5"/>
      <c r="K188" s="5"/>
      <c r="L188" s="5"/>
      <c r="M188" s="5"/>
      <c r="N188" s="5"/>
      <c r="O188" s="5"/>
      <c r="P188" s="5"/>
      <c r="Q188" s="90" t="s">
        <v>34</v>
      </c>
      <c r="R188" s="5"/>
      <c r="S188" s="5"/>
    </row>
    <row r="189" spans="1:19" s="4" customFormat="1" ht="12.75" customHeight="1">
      <c r="A189" s="21"/>
      <c r="C189" s="29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s="4" customFormat="1" ht="15.75" customHeight="1">
      <c r="A190" s="26" t="s">
        <v>203</v>
      </c>
      <c r="B190" s="10"/>
      <c r="L190" s="5"/>
      <c r="M190" s="5"/>
      <c r="N190" s="5"/>
      <c r="O190" s="5"/>
      <c r="P190" s="5"/>
      <c r="Q190" s="5"/>
      <c r="R190" s="5"/>
      <c r="S190" s="5"/>
    </row>
    <row r="191" spans="1:19" s="4" customFormat="1" ht="15.75" customHeight="1">
      <c r="A191" s="215"/>
      <c r="B191" s="10"/>
      <c r="L191" s="5"/>
      <c r="M191" s="5"/>
      <c r="N191" s="5"/>
      <c r="O191" s="5"/>
      <c r="P191" s="5"/>
      <c r="Q191" s="5"/>
      <c r="R191" s="5"/>
      <c r="S191" s="5"/>
    </row>
    <row r="192" spans="1:19" s="4" customFormat="1" ht="15.75" customHeight="1" thickBot="1">
      <c r="A192" s="346"/>
      <c r="B192" s="60"/>
      <c r="C192" s="47"/>
      <c r="D192" s="47"/>
      <c r="E192" s="47"/>
      <c r="F192" s="47"/>
      <c r="G192" s="47"/>
      <c r="I192" s="18"/>
      <c r="K192" s="18" t="s">
        <v>139</v>
      </c>
      <c r="L192" s="5"/>
      <c r="M192" s="5"/>
      <c r="N192" s="5"/>
      <c r="O192" s="5"/>
      <c r="P192" s="5"/>
      <c r="Q192" s="5"/>
      <c r="R192" s="5"/>
      <c r="S192" s="5"/>
    </row>
    <row r="193" spans="1:19" s="4" customFormat="1" ht="15.75" customHeight="1">
      <c r="A193" s="43"/>
      <c r="B193" s="12"/>
      <c r="C193" s="12"/>
      <c r="D193" s="12"/>
      <c r="E193" s="12"/>
      <c r="F193" s="12"/>
      <c r="G193" s="12"/>
      <c r="H193" s="313"/>
      <c r="I193" s="48">
        <v>-1</v>
      </c>
      <c r="J193" s="42"/>
      <c r="K193" s="48">
        <v>-2</v>
      </c>
      <c r="L193" s="5"/>
      <c r="M193" s="5"/>
      <c r="N193" s="5"/>
      <c r="O193" s="5"/>
      <c r="P193" s="5"/>
      <c r="Q193" s="5"/>
      <c r="R193" s="5"/>
      <c r="S193" s="5"/>
    </row>
    <row r="194" spans="1:19" s="4" customFormat="1" ht="15.75" customHeight="1">
      <c r="A194" s="43"/>
      <c r="B194" s="12"/>
      <c r="C194" s="44"/>
      <c r="D194" s="12"/>
      <c r="E194" s="12"/>
      <c r="F194" s="12"/>
      <c r="G194" s="12"/>
      <c r="H194" s="17"/>
      <c r="I194" s="86" t="s">
        <v>187</v>
      </c>
      <c r="J194" s="44"/>
      <c r="K194" s="50" t="s">
        <v>188</v>
      </c>
      <c r="L194" s="5"/>
      <c r="M194" s="5"/>
      <c r="N194" s="5"/>
      <c r="O194" s="5"/>
      <c r="P194" s="5"/>
      <c r="Q194" s="5"/>
      <c r="R194" s="5"/>
      <c r="S194" s="5"/>
    </row>
    <row r="195" spans="1:19" s="4" customFormat="1" ht="15.75" customHeight="1">
      <c r="A195" s="43"/>
      <c r="B195" s="12"/>
      <c r="C195" s="12"/>
      <c r="D195" s="12"/>
      <c r="E195" s="12"/>
      <c r="F195" s="12"/>
      <c r="G195" s="12"/>
      <c r="H195" s="17"/>
      <c r="I195" s="86" t="s">
        <v>173</v>
      </c>
      <c r="J195" s="314"/>
      <c r="K195" s="50" t="s">
        <v>173</v>
      </c>
      <c r="L195" s="5"/>
      <c r="M195" s="5"/>
      <c r="N195" s="5"/>
      <c r="O195" s="5"/>
      <c r="P195" s="5"/>
      <c r="Q195" s="5"/>
      <c r="R195" s="5"/>
      <c r="S195" s="5"/>
    </row>
    <row r="196" spans="1:19" s="4" customFormat="1" ht="15.75" customHeight="1">
      <c r="A196" s="43"/>
      <c r="B196" s="12"/>
      <c r="C196" s="12"/>
      <c r="D196" s="12"/>
      <c r="E196" s="12"/>
      <c r="F196" s="12"/>
      <c r="G196" s="12"/>
      <c r="H196" s="17"/>
      <c r="I196" s="86" t="s">
        <v>189</v>
      </c>
      <c r="J196" s="44"/>
      <c r="K196" s="50" t="s">
        <v>190</v>
      </c>
      <c r="L196" s="5"/>
      <c r="M196" s="5"/>
      <c r="N196" s="5"/>
      <c r="O196" s="5"/>
      <c r="P196" s="5"/>
      <c r="Q196" s="5"/>
      <c r="R196" s="5"/>
      <c r="S196" s="5"/>
    </row>
    <row r="197" spans="1:19" s="4" customFormat="1" ht="15.75" customHeight="1">
      <c r="A197" s="43"/>
      <c r="B197" s="12"/>
      <c r="C197" s="12"/>
      <c r="D197" s="12"/>
      <c r="E197" s="12"/>
      <c r="F197" s="12"/>
      <c r="G197" s="12"/>
      <c r="H197" s="17"/>
      <c r="I197" s="49" t="s">
        <v>1</v>
      </c>
      <c r="J197" s="44"/>
      <c r="K197" s="51" t="s">
        <v>1</v>
      </c>
      <c r="L197" s="5"/>
      <c r="M197" s="5"/>
      <c r="N197" s="5"/>
      <c r="O197" s="5"/>
      <c r="P197" s="5"/>
      <c r="Q197" s="5"/>
      <c r="R197" s="5"/>
      <c r="S197" s="5"/>
    </row>
    <row r="198" spans="1:19" s="4" customFormat="1" ht="15.75" customHeight="1">
      <c r="A198" s="43"/>
      <c r="B198" s="12"/>
      <c r="C198" s="76"/>
      <c r="D198" s="12"/>
      <c r="E198" s="12"/>
      <c r="F198" s="12"/>
      <c r="G198" s="12"/>
      <c r="H198" s="17"/>
      <c r="I198" s="315" t="s">
        <v>202</v>
      </c>
      <c r="J198" s="12"/>
      <c r="K198" s="316" t="s">
        <v>204</v>
      </c>
      <c r="L198" s="5"/>
      <c r="M198" s="5"/>
      <c r="N198" s="5"/>
      <c r="O198" s="5"/>
      <c r="P198" s="5"/>
      <c r="Q198" s="5"/>
      <c r="R198" s="5"/>
      <c r="S198" s="5"/>
    </row>
    <row r="199" spans="1:19" s="4" customFormat="1" ht="15.75" customHeight="1" thickBot="1">
      <c r="A199" s="46"/>
      <c r="B199" s="47"/>
      <c r="C199" s="347" t="s">
        <v>42</v>
      </c>
      <c r="D199" s="47"/>
      <c r="E199" s="47"/>
      <c r="F199" s="47"/>
      <c r="G199" s="47"/>
      <c r="H199" s="317"/>
      <c r="I199" s="87" t="s">
        <v>191</v>
      </c>
      <c r="J199" s="318"/>
      <c r="K199" s="73" t="s">
        <v>3</v>
      </c>
      <c r="L199" s="5"/>
      <c r="M199" s="5"/>
      <c r="N199" s="5"/>
      <c r="O199" s="5"/>
      <c r="P199" s="5"/>
      <c r="Q199" s="5"/>
      <c r="R199" s="5"/>
      <c r="S199" s="5"/>
    </row>
    <row r="200" spans="1:19" s="4" customFormat="1" ht="15.75" customHeight="1">
      <c r="A200" s="43"/>
      <c r="B200" s="12"/>
      <c r="C200" s="79"/>
      <c r="D200" s="12"/>
      <c r="E200" s="12"/>
      <c r="F200" s="12"/>
      <c r="G200" s="12"/>
      <c r="H200" s="41"/>
      <c r="I200" s="70"/>
      <c r="J200" s="41"/>
      <c r="K200" s="70"/>
      <c r="L200" s="5"/>
      <c r="M200" s="5"/>
      <c r="N200" s="5"/>
      <c r="O200" s="5"/>
      <c r="P200" s="5"/>
      <c r="Q200" s="5"/>
      <c r="R200" s="5"/>
      <c r="S200" s="5"/>
    </row>
    <row r="201" spans="1:19" s="4" customFormat="1" ht="15.75" customHeight="1">
      <c r="A201" s="53">
        <v>1</v>
      </c>
      <c r="B201" s="12"/>
      <c r="C201" s="78" t="s">
        <v>9</v>
      </c>
      <c r="D201" s="12"/>
      <c r="E201" s="12"/>
      <c r="F201" s="12"/>
      <c r="G201" s="12"/>
      <c r="H201" s="12"/>
      <c r="I201" s="137">
        <f>90276.74+139.08</f>
        <v>90415.82</v>
      </c>
      <c r="J201" s="140"/>
      <c r="K201" s="139">
        <v>77538.26</v>
      </c>
      <c r="L201" s="5"/>
      <c r="M201" s="5"/>
      <c r="N201" s="5"/>
      <c r="O201" s="5"/>
      <c r="P201" s="5"/>
      <c r="Q201" s="5"/>
      <c r="R201" s="5"/>
      <c r="S201" s="5"/>
    </row>
    <row r="202" spans="1:19" s="4" customFormat="1" ht="15.75" customHeight="1">
      <c r="A202" s="54">
        <f>+A201+1</f>
        <v>2</v>
      </c>
      <c r="B202" s="12"/>
      <c r="C202" s="79" t="s">
        <v>12</v>
      </c>
      <c r="D202" s="12"/>
      <c r="E202" s="12"/>
      <c r="F202" s="12"/>
      <c r="G202" s="12"/>
      <c r="H202" s="12"/>
      <c r="I202" s="145">
        <f>4753.37+33.68</f>
        <v>4787.05</v>
      </c>
      <c r="J202" s="140"/>
      <c r="K202" s="146">
        <v>2428.66</v>
      </c>
      <c r="L202" s="5"/>
      <c r="M202" s="5"/>
      <c r="N202" s="5"/>
      <c r="O202" s="5"/>
      <c r="P202" s="5"/>
      <c r="Q202" s="5"/>
      <c r="R202" s="5"/>
      <c r="S202" s="5"/>
    </row>
    <row r="203" spans="1:19" s="4" customFormat="1" ht="15.75" customHeight="1">
      <c r="A203" s="54">
        <f>+A202+1</f>
        <v>3</v>
      </c>
      <c r="B203" s="12"/>
      <c r="C203" s="9" t="s">
        <v>220</v>
      </c>
      <c r="D203" s="12"/>
      <c r="E203" s="12"/>
      <c r="F203" s="12"/>
      <c r="G203" s="12"/>
      <c r="H203" s="12"/>
      <c r="I203" s="147">
        <f>SUM(I201:I202)</f>
        <v>95202.87000000001</v>
      </c>
      <c r="J203" s="140"/>
      <c r="K203" s="148">
        <f>SUM(K201:K202)</f>
        <v>79966.92</v>
      </c>
      <c r="L203" s="5"/>
      <c r="M203" s="5"/>
      <c r="N203" s="5"/>
      <c r="O203" s="5"/>
      <c r="P203" s="5"/>
      <c r="Q203" s="5"/>
      <c r="R203" s="5"/>
      <c r="S203" s="5"/>
    </row>
    <row r="204" spans="1:19" s="4" customFormat="1" ht="15.75" customHeight="1">
      <c r="A204" s="53">
        <f>+A203+1</f>
        <v>4</v>
      </c>
      <c r="B204" s="12"/>
      <c r="C204" s="9" t="s">
        <v>43</v>
      </c>
      <c r="D204" s="12"/>
      <c r="E204" s="12"/>
      <c r="F204" s="12"/>
      <c r="G204" s="12"/>
      <c r="H204" s="12"/>
      <c r="I204" s="137"/>
      <c r="J204" s="140"/>
      <c r="K204" s="139"/>
      <c r="L204" s="5"/>
      <c r="M204" s="5"/>
      <c r="N204" s="5"/>
      <c r="O204" s="5"/>
      <c r="P204" s="5"/>
      <c r="Q204" s="5"/>
      <c r="R204" s="5"/>
      <c r="S204" s="5"/>
    </row>
    <row r="205" spans="1:19" s="4" customFormat="1" ht="15.75" customHeight="1">
      <c r="A205" s="53"/>
      <c r="B205" s="12"/>
      <c r="C205" s="12" t="s">
        <v>6</v>
      </c>
      <c r="D205" s="12"/>
      <c r="E205" s="12"/>
      <c r="F205" s="12"/>
      <c r="G205" s="12"/>
      <c r="H205" s="12"/>
      <c r="I205" s="142">
        <f>725.71+33.68</f>
        <v>759.39</v>
      </c>
      <c r="J205" s="140"/>
      <c r="K205" s="143">
        <v>-1833.44</v>
      </c>
      <c r="L205" s="5"/>
      <c r="M205" s="5"/>
      <c r="N205" s="5"/>
      <c r="O205" s="5"/>
      <c r="P205" s="5"/>
      <c r="Q205" s="5"/>
      <c r="R205" s="5"/>
      <c r="S205" s="5"/>
    </row>
    <row r="206" spans="1:19" s="4" customFormat="1" ht="15.75" customHeight="1">
      <c r="A206" s="53"/>
      <c r="B206" s="12"/>
      <c r="C206" s="12" t="s">
        <v>14</v>
      </c>
      <c r="D206" s="12"/>
      <c r="E206" s="12"/>
      <c r="F206" s="12"/>
      <c r="G206" s="12"/>
      <c r="H206" s="12"/>
      <c r="I206" s="142">
        <v>23657.63</v>
      </c>
      <c r="J206" s="140"/>
      <c r="K206" s="143">
        <v>21455</v>
      </c>
      <c r="L206" s="5"/>
      <c r="M206" s="5"/>
      <c r="N206" s="5"/>
      <c r="O206" s="5"/>
      <c r="P206" s="5"/>
      <c r="Q206" s="5"/>
      <c r="R206" s="5"/>
      <c r="S206" s="5"/>
    </row>
    <row r="207" spans="1:19" s="4" customFormat="1" ht="15.75" customHeight="1">
      <c r="A207" s="53"/>
      <c r="B207" s="12"/>
      <c r="C207" s="12" t="s">
        <v>15</v>
      </c>
      <c r="D207" s="12"/>
      <c r="E207" s="12"/>
      <c r="F207" s="12"/>
      <c r="G207" s="12"/>
      <c r="H207" s="12"/>
      <c r="I207" s="142">
        <v>20423.65</v>
      </c>
      <c r="J207" s="140"/>
      <c r="K207" s="143">
        <v>15198.86</v>
      </c>
      <c r="L207" s="5"/>
      <c r="M207" s="5"/>
      <c r="N207" s="5"/>
      <c r="O207" s="5"/>
      <c r="P207" s="5"/>
      <c r="Q207" s="5"/>
      <c r="R207" s="5"/>
      <c r="S207" s="5"/>
    </row>
    <row r="208" spans="1:19" s="4" customFormat="1" ht="15.75" customHeight="1">
      <c r="A208" s="53"/>
      <c r="B208" s="12"/>
      <c r="C208" s="79" t="s">
        <v>10</v>
      </c>
      <c r="D208" s="12"/>
      <c r="E208" s="12"/>
      <c r="F208" s="12"/>
      <c r="G208" s="12"/>
      <c r="H208" s="12"/>
      <c r="I208" s="142">
        <f>12570.7-80</f>
        <v>12490.7</v>
      </c>
      <c r="J208" s="140"/>
      <c r="K208" s="143">
        <v>11648.4</v>
      </c>
      <c r="L208" s="5"/>
      <c r="M208" s="5"/>
      <c r="N208" s="5"/>
      <c r="O208" s="5"/>
      <c r="P208" s="5"/>
      <c r="Q208" s="5"/>
      <c r="R208" s="5"/>
      <c r="S208" s="5"/>
    </row>
    <row r="209" spans="1:19" s="4" customFormat="1" ht="15.75" customHeight="1">
      <c r="A209" s="53"/>
      <c r="B209" s="12"/>
      <c r="C209" s="79" t="s">
        <v>13</v>
      </c>
      <c r="D209" s="12"/>
      <c r="E209" s="12"/>
      <c r="F209" s="12"/>
      <c r="G209" s="12"/>
      <c r="H209" s="12"/>
      <c r="I209" s="145">
        <f>30408.79+35.85-0.55-278.37+80</f>
        <v>30245.72</v>
      </c>
      <c r="J209" s="140"/>
      <c r="K209" s="146">
        <v>25311.98</v>
      </c>
      <c r="L209" s="5"/>
      <c r="M209" s="5"/>
      <c r="N209" s="5"/>
      <c r="O209" s="5"/>
      <c r="P209" s="5"/>
      <c r="Q209" s="5"/>
      <c r="R209" s="5"/>
      <c r="S209" s="5"/>
    </row>
    <row r="210" spans="1:19" s="4" customFormat="1" ht="15.75" customHeight="1">
      <c r="A210" s="53"/>
      <c r="B210" s="12"/>
      <c r="C210" s="12" t="s">
        <v>25</v>
      </c>
      <c r="D210" s="12"/>
      <c r="E210" s="12"/>
      <c r="F210" s="12"/>
      <c r="G210" s="12"/>
      <c r="H210" s="12"/>
      <c r="I210" s="147">
        <f>SUM(I205:I209)</f>
        <v>87577.09</v>
      </c>
      <c r="J210" s="140"/>
      <c r="K210" s="148">
        <f>SUM(K205:K209)</f>
        <v>71780.8</v>
      </c>
      <c r="L210" s="5"/>
      <c r="M210" s="5"/>
      <c r="N210" s="5"/>
      <c r="O210" s="5"/>
      <c r="P210" s="5"/>
      <c r="Q210" s="5"/>
      <c r="R210" s="5"/>
      <c r="S210" s="5"/>
    </row>
    <row r="211" spans="1:19" s="4" customFormat="1" ht="15.75" customHeight="1">
      <c r="A211" s="53">
        <f>+A204+1</f>
        <v>5</v>
      </c>
      <c r="B211" s="12"/>
      <c r="C211" s="79" t="s">
        <v>44</v>
      </c>
      <c r="D211" s="12"/>
      <c r="E211" s="12"/>
      <c r="F211" s="12"/>
      <c r="G211" s="12"/>
      <c r="H211" s="12"/>
      <c r="I211" s="142">
        <f>761.31+8.89</f>
        <v>770.1999999999999</v>
      </c>
      <c r="J211" s="140"/>
      <c r="K211" s="143">
        <v>554.33</v>
      </c>
      <c r="L211" s="5"/>
      <c r="M211" s="5"/>
      <c r="N211" s="5"/>
      <c r="O211" s="5"/>
      <c r="P211" s="5"/>
      <c r="Q211" s="5"/>
      <c r="R211" s="5"/>
      <c r="S211" s="5"/>
    </row>
    <row r="212" spans="1:19" s="4" customFormat="1" ht="15.75" customHeight="1">
      <c r="A212" s="53">
        <f>+A211+1</f>
        <v>6</v>
      </c>
      <c r="B212" s="12"/>
      <c r="C212" s="79" t="s">
        <v>45</v>
      </c>
      <c r="D212" s="12"/>
      <c r="E212" s="12"/>
      <c r="F212" s="12"/>
      <c r="G212" s="12"/>
      <c r="H212" s="12"/>
      <c r="I212" s="145">
        <v>25.2</v>
      </c>
      <c r="J212" s="140"/>
      <c r="K212" s="146">
        <v>518.2</v>
      </c>
      <c r="L212" s="5"/>
      <c r="M212" s="5"/>
      <c r="N212" s="5"/>
      <c r="O212" s="5"/>
      <c r="P212" s="5"/>
      <c r="Q212" s="5"/>
      <c r="R212" s="5"/>
      <c r="S212" s="5"/>
    </row>
    <row r="213" spans="1:19" s="4" customFormat="1" ht="15.75" customHeight="1">
      <c r="A213" s="53">
        <f>+A212+1</f>
        <v>7</v>
      </c>
      <c r="B213" s="12"/>
      <c r="C213" s="78" t="s">
        <v>221</v>
      </c>
      <c r="D213" s="12"/>
      <c r="E213" s="12"/>
      <c r="F213" s="12"/>
      <c r="G213" s="12"/>
      <c r="H213" s="12"/>
      <c r="I213" s="137">
        <f>+I203-I210-I211-I212</f>
        <v>6830.380000000014</v>
      </c>
      <c r="J213" s="152"/>
      <c r="K213" s="139">
        <f>+K203-K210-K211-K212</f>
        <v>7113.589999999996</v>
      </c>
      <c r="L213" s="5"/>
      <c r="M213" s="5"/>
      <c r="N213" s="5"/>
      <c r="O213" s="5"/>
      <c r="P213" s="5"/>
      <c r="Q213" s="5"/>
      <c r="R213" s="5"/>
      <c r="S213" s="5"/>
    </row>
    <row r="214" spans="1:19" s="4" customFormat="1" ht="15.75" customHeight="1">
      <c r="A214" s="53">
        <f>+A213+1</f>
        <v>8</v>
      </c>
      <c r="B214" s="12"/>
      <c r="C214" s="79" t="s">
        <v>53</v>
      </c>
      <c r="D214" s="12"/>
      <c r="E214" s="12"/>
      <c r="F214" s="12"/>
      <c r="G214" s="12"/>
      <c r="H214" s="12"/>
      <c r="I214" s="145">
        <f>2712.39+146.94</f>
        <v>2859.33</v>
      </c>
      <c r="J214" s="140"/>
      <c r="K214" s="146">
        <v>2516.72</v>
      </c>
      <c r="L214" s="5"/>
      <c r="M214" s="5"/>
      <c r="N214" s="5"/>
      <c r="O214" s="5"/>
      <c r="P214" s="5"/>
      <c r="Q214" s="5"/>
      <c r="R214" s="5"/>
      <c r="S214" s="5"/>
    </row>
    <row r="215" spans="1:19" s="4" customFormat="1" ht="15.75" customHeight="1">
      <c r="A215" s="53">
        <f aca="true" t="shared" si="1" ref="A215:A221">+A214+1</f>
        <v>9</v>
      </c>
      <c r="B215" s="12"/>
      <c r="C215" s="78" t="s">
        <v>222</v>
      </c>
      <c r="D215" s="12"/>
      <c r="E215" s="12"/>
      <c r="F215" s="12"/>
      <c r="G215" s="12"/>
      <c r="H215" s="12"/>
      <c r="I215" s="137">
        <f>+I213-I214</f>
        <v>3971.050000000014</v>
      </c>
      <c r="J215" s="152"/>
      <c r="K215" s="139">
        <f>+K213-K214</f>
        <v>4596.869999999995</v>
      </c>
      <c r="L215" s="5"/>
      <c r="M215" s="5"/>
      <c r="N215" s="5"/>
      <c r="O215" s="5"/>
      <c r="P215" s="5"/>
      <c r="Q215" s="5"/>
      <c r="R215" s="5"/>
      <c r="S215" s="5"/>
    </row>
    <row r="216" spans="1:19" s="4" customFormat="1" ht="15.75" customHeight="1">
      <c r="A216" s="53">
        <f t="shared" si="1"/>
        <v>10</v>
      </c>
      <c r="B216" s="12"/>
      <c r="C216" s="79" t="s">
        <v>192</v>
      </c>
      <c r="D216" s="12"/>
      <c r="E216" s="12"/>
      <c r="F216" s="12"/>
      <c r="G216" s="12"/>
      <c r="H216" s="12"/>
      <c r="I216" s="319">
        <v>0</v>
      </c>
      <c r="J216" s="152"/>
      <c r="K216" s="320">
        <v>0</v>
      </c>
      <c r="L216" s="5"/>
      <c r="M216" s="5"/>
      <c r="N216" s="5"/>
      <c r="O216" s="5"/>
      <c r="P216" s="5"/>
      <c r="Q216" s="5"/>
      <c r="R216" s="5"/>
      <c r="S216" s="5"/>
    </row>
    <row r="217" spans="1:19" s="4" customFormat="1" ht="15.75" customHeight="1">
      <c r="A217" s="53">
        <f t="shared" si="1"/>
        <v>11</v>
      </c>
      <c r="B217" s="12"/>
      <c r="C217" s="78" t="s">
        <v>254</v>
      </c>
      <c r="D217" s="12"/>
      <c r="E217" s="12"/>
      <c r="F217" s="12"/>
      <c r="G217" s="12"/>
      <c r="H217" s="12"/>
      <c r="I217" s="137">
        <f>+I215-I216</f>
        <v>3971.050000000014</v>
      </c>
      <c r="J217" s="152"/>
      <c r="K217" s="139">
        <f>+K215-K216</f>
        <v>4596.869999999995</v>
      </c>
      <c r="L217" s="5"/>
      <c r="M217" s="5"/>
      <c r="N217" s="5"/>
      <c r="O217" s="5"/>
      <c r="P217" s="5"/>
      <c r="Q217" s="5"/>
      <c r="R217" s="5"/>
      <c r="S217" s="5"/>
    </row>
    <row r="218" spans="1:19" s="4" customFormat="1" ht="15.75" customHeight="1">
      <c r="A218" s="53">
        <f t="shared" si="1"/>
        <v>12</v>
      </c>
      <c r="B218" s="12"/>
      <c r="C218" s="79" t="s">
        <v>240</v>
      </c>
      <c r="D218" s="12"/>
      <c r="E218" s="12"/>
      <c r="F218" s="12"/>
      <c r="G218" s="12"/>
      <c r="H218" s="12"/>
      <c r="I218" s="142">
        <v>278.37</v>
      </c>
      <c r="J218" s="152"/>
      <c r="K218" s="139">
        <v>0</v>
      </c>
      <c r="L218" s="5"/>
      <c r="M218" s="5"/>
      <c r="N218" s="5"/>
      <c r="O218" s="5"/>
      <c r="P218" s="5"/>
      <c r="Q218" s="5"/>
      <c r="R218" s="5"/>
      <c r="S218" s="5"/>
    </row>
    <row r="219" spans="1:19" s="4" customFormat="1" ht="15.75" customHeight="1">
      <c r="A219" s="53">
        <f t="shared" si="1"/>
        <v>13</v>
      </c>
      <c r="B219" s="12"/>
      <c r="C219" s="79" t="s">
        <v>253</v>
      </c>
      <c r="D219" s="12"/>
      <c r="E219" s="12"/>
      <c r="F219" s="12"/>
      <c r="G219" s="12"/>
      <c r="H219" s="12"/>
      <c r="I219" s="145">
        <v>146.94</v>
      </c>
      <c r="J219" s="152"/>
      <c r="K219" s="320">
        <v>0</v>
      </c>
      <c r="L219" s="5"/>
      <c r="M219" s="5"/>
      <c r="N219" s="5"/>
      <c r="O219" s="5"/>
      <c r="P219" s="5"/>
      <c r="Q219" s="5"/>
      <c r="R219" s="5"/>
      <c r="S219" s="5"/>
    </row>
    <row r="220" spans="1:19" s="4" customFormat="1" ht="15.75" customHeight="1">
      <c r="A220" s="53">
        <f t="shared" si="1"/>
        <v>14</v>
      </c>
      <c r="B220" s="12"/>
      <c r="C220" s="78" t="s">
        <v>255</v>
      </c>
      <c r="D220" s="12"/>
      <c r="E220" s="12"/>
      <c r="F220" s="12"/>
      <c r="G220" s="12"/>
      <c r="H220" s="12"/>
      <c r="I220" s="137">
        <f>+I217-I218+I219</f>
        <v>3839.620000000014</v>
      </c>
      <c r="J220" s="152"/>
      <c r="K220" s="139">
        <f>+K217-K218+K219</f>
        <v>4596.869999999995</v>
      </c>
      <c r="L220" s="5"/>
      <c r="M220" s="5"/>
      <c r="N220" s="5"/>
      <c r="O220" s="5"/>
      <c r="P220" s="5"/>
      <c r="Q220" s="5"/>
      <c r="R220" s="5"/>
      <c r="S220" s="5"/>
    </row>
    <row r="221" spans="1:19" s="4" customFormat="1" ht="15.75" customHeight="1">
      <c r="A221" s="53">
        <f t="shared" si="1"/>
        <v>15</v>
      </c>
      <c r="B221" s="12"/>
      <c r="C221" s="12" t="s">
        <v>193</v>
      </c>
      <c r="D221" s="12"/>
      <c r="E221" s="12"/>
      <c r="F221" s="12"/>
      <c r="G221" s="12"/>
      <c r="H221" s="12"/>
      <c r="I221" s="321"/>
      <c r="J221" s="140"/>
      <c r="K221" s="322"/>
      <c r="L221" s="5"/>
      <c r="M221" s="5"/>
      <c r="N221" s="5"/>
      <c r="O221" s="5"/>
      <c r="P221" s="5"/>
      <c r="Q221" s="5"/>
      <c r="R221" s="5"/>
      <c r="S221" s="5"/>
    </row>
    <row r="222" spans="1:19" s="4" customFormat="1" ht="15.75" customHeight="1">
      <c r="A222" s="53"/>
      <c r="B222" s="12"/>
      <c r="C222" s="12" t="s">
        <v>194</v>
      </c>
      <c r="D222" s="12"/>
      <c r="E222" s="12"/>
      <c r="F222" s="12"/>
      <c r="G222" s="12"/>
      <c r="H222" s="12"/>
      <c r="I222" s="323">
        <v>251.28</v>
      </c>
      <c r="J222" s="140"/>
      <c r="K222" s="324">
        <v>223.77</v>
      </c>
      <c r="L222" s="5"/>
      <c r="M222" s="5"/>
      <c r="N222" s="5"/>
      <c r="O222" s="5"/>
      <c r="P222" s="5"/>
      <c r="Q222" s="5"/>
      <c r="R222" s="5"/>
      <c r="S222" s="5"/>
    </row>
    <row r="223" spans="1:19" s="4" customFormat="1" ht="15.75" customHeight="1">
      <c r="A223" s="53">
        <f>+A221+1</f>
        <v>16</v>
      </c>
      <c r="B223" s="12"/>
      <c r="C223" s="78" t="s">
        <v>256</v>
      </c>
      <c r="D223" s="12"/>
      <c r="E223" s="12"/>
      <c r="F223" s="12"/>
      <c r="G223" s="12"/>
      <c r="H223" s="9"/>
      <c r="I223" s="137">
        <f>+I220-I222</f>
        <v>3588.340000000014</v>
      </c>
      <c r="J223" s="152"/>
      <c r="K223" s="139">
        <f>+K220-K222</f>
        <v>4373.099999999995</v>
      </c>
      <c r="L223" s="5"/>
      <c r="M223" s="5"/>
      <c r="N223" s="5"/>
      <c r="O223" s="5"/>
      <c r="P223" s="5"/>
      <c r="Q223" s="5"/>
      <c r="R223" s="5"/>
      <c r="S223" s="5"/>
    </row>
    <row r="224" spans="1:19" s="4" customFormat="1" ht="15.75" customHeight="1">
      <c r="A224" s="53">
        <f>+A223+1</f>
        <v>17</v>
      </c>
      <c r="B224" s="12"/>
      <c r="C224" s="12" t="s">
        <v>5</v>
      </c>
      <c r="D224" s="12"/>
      <c r="E224" s="12"/>
      <c r="F224" s="12"/>
      <c r="G224" s="12"/>
      <c r="H224" s="12"/>
      <c r="I224" s="142"/>
      <c r="J224" s="140"/>
      <c r="K224" s="143"/>
      <c r="L224" s="5"/>
      <c r="M224" s="5"/>
      <c r="N224" s="5"/>
      <c r="O224" s="5"/>
      <c r="P224" s="5"/>
      <c r="Q224" s="5"/>
      <c r="R224" s="5"/>
      <c r="S224" s="5"/>
    </row>
    <row r="225" spans="1:19" s="4" customFormat="1" ht="15.75" customHeight="1">
      <c r="A225" s="53"/>
      <c r="B225" s="12"/>
      <c r="C225" s="12" t="s">
        <v>17</v>
      </c>
      <c r="D225" s="12"/>
      <c r="E225" s="12"/>
      <c r="F225" s="12"/>
      <c r="G225" s="12"/>
      <c r="H225" s="12"/>
      <c r="I225" s="142">
        <v>939.47</v>
      </c>
      <c r="J225" s="140"/>
      <c r="K225" s="143">
        <v>1454.54</v>
      </c>
      <c r="L225" s="5"/>
      <c r="M225" s="5"/>
      <c r="N225" s="5"/>
      <c r="O225" s="5"/>
      <c r="P225" s="5"/>
      <c r="Q225" s="5"/>
      <c r="R225" s="5"/>
      <c r="S225" s="5"/>
    </row>
    <row r="226" spans="1:19" s="4" customFormat="1" ht="15.75" customHeight="1">
      <c r="A226" s="53"/>
      <c r="B226" s="12"/>
      <c r="C226" s="12" t="s">
        <v>18</v>
      </c>
      <c r="D226" s="12"/>
      <c r="E226" s="12"/>
      <c r="F226" s="12"/>
      <c r="G226" s="12"/>
      <c r="H226" s="12"/>
      <c r="I226" s="145">
        <v>159.49</v>
      </c>
      <c r="J226" s="140"/>
      <c r="K226" s="146">
        <v>-346.7</v>
      </c>
      <c r="L226" s="5"/>
      <c r="M226" s="5"/>
      <c r="N226" s="5"/>
      <c r="O226" s="5"/>
      <c r="P226" s="5"/>
      <c r="Q226" s="5"/>
      <c r="R226" s="5"/>
      <c r="S226" s="5"/>
    </row>
    <row r="227" spans="1:19" s="4" customFormat="1" ht="15.75" customHeight="1">
      <c r="A227" s="53">
        <f>+A224+1</f>
        <v>18</v>
      </c>
      <c r="B227" s="12"/>
      <c r="C227" s="9" t="s">
        <v>257</v>
      </c>
      <c r="D227" s="12"/>
      <c r="E227" s="12"/>
      <c r="F227" s="12"/>
      <c r="G227" s="12"/>
      <c r="H227" s="12"/>
      <c r="I227" s="325">
        <f>+I223-I225-I226</f>
        <v>2489.3800000000138</v>
      </c>
      <c r="J227" s="140"/>
      <c r="K227" s="326">
        <f>+K223-K225-K226</f>
        <v>3265.2599999999948</v>
      </c>
      <c r="L227" s="5"/>
      <c r="M227" s="5"/>
      <c r="N227" s="5"/>
      <c r="O227" s="5"/>
      <c r="P227" s="5"/>
      <c r="Q227" s="5"/>
      <c r="R227" s="5"/>
      <c r="S227" s="5"/>
    </row>
    <row r="228" spans="1:19" s="4" customFormat="1" ht="15.75" customHeight="1">
      <c r="A228" s="53">
        <f>+A227+1</f>
        <v>19</v>
      </c>
      <c r="B228" s="12"/>
      <c r="C228" s="9" t="s">
        <v>195</v>
      </c>
      <c r="D228" s="12"/>
      <c r="E228" s="12"/>
      <c r="F228" s="12"/>
      <c r="G228" s="12"/>
      <c r="H228" s="12"/>
      <c r="I228" s="137">
        <v>25.59</v>
      </c>
      <c r="J228" s="140"/>
      <c r="K228" s="139">
        <v>-11.73</v>
      </c>
      <c r="L228" s="5"/>
      <c r="M228" s="5"/>
      <c r="N228" s="5"/>
      <c r="O228" s="5"/>
      <c r="P228" s="5"/>
      <c r="Q228" s="5"/>
      <c r="R228" s="5"/>
      <c r="S228" s="5"/>
    </row>
    <row r="229" spans="1:19" s="4" customFormat="1" ht="15.75" customHeight="1">
      <c r="A229" s="53">
        <f>+A228+1</f>
        <v>20</v>
      </c>
      <c r="B229" s="12"/>
      <c r="C229" s="9" t="s">
        <v>196</v>
      </c>
      <c r="D229" s="12"/>
      <c r="E229" s="12"/>
      <c r="F229" s="12"/>
      <c r="G229" s="12"/>
      <c r="H229" s="12"/>
      <c r="I229" s="137">
        <v>-848.7</v>
      </c>
      <c r="J229" s="140"/>
      <c r="K229" s="139">
        <v>-763.94</v>
      </c>
      <c r="L229" s="5"/>
      <c r="M229" s="5"/>
      <c r="N229" s="5"/>
      <c r="O229" s="5"/>
      <c r="P229" s="5"/>
      <c r="Q229" s="5"/>
      <c r="R229" s="5"/>
      <c r="S229" s="5"/>
    </row>
    <row r="230" spans="1:19" s="4" customFormat="1" ht="15.75" customHeight="1">
      <c r="A230" s="53"/>
      <c r="B230" s="12"/>
      <c r="C230" s="9" t="s">
        <v>197</v>
      </c>
      <c r="D230" s="12"/>
      <c r="E230" s="12"/>
      <c r="F230" s="12"/>
      <c r="G230" s="12"/>
      <c r="H230" s="12"/>
      <c r="I230" s="147">
        <f>SUM(I227:I229)</f>
        <v>1666.2700000000139</v>
      </c>
      <c r="J230" s="140"/>
      <c r="K230" s="148">
        <f>SUM(K227:K229)</f>
        <v>2489.5899999999947</v>
      </c>
      <c r="L230" s="5"/>
      <c r="M230" s="5"/>
      <c r="N230" s="5"/>
      <c r="O230" s="5"/>
      <c r="P230" s="5"/>
      <c r="Q230" s="5"/>
      <c r="R230" s="5"/>
      <c r="S230" s="5"/>
    </row>
    <row r="231" spans="1:19" s="4" customFormat="1" ht="15.75" customHeight="1">
      <c r="A231" s="53"/>
      <c r="B231" s="12"/>
      <c r="C231" s="9"/>
      <c r="D231" s="12"/>
      <c r="E231" s="12"/>
      <c r="F231" s="12"/>
      <c r="G231" s="12"/>
      <c r="H231" s="12"/>
      <c r="I231" s="137"/>
      <c r="J231" s="140"/>
      <c r="K231" s="139"/>
      <c r="L231" s="5"/>
      <c r="M231" s="5"/>
      <c r="N231" s="5"/>
      <c r="O231" s="5"/>
      <c r="P231" s="5"/>
      <c r="Q231" s="5"/>
      <c r="R231" s="5"/>
      <c r="S231" s="5"/>
    </row>
    <row r="232" spans="1:19" s="4" customFormat="1" ht="15.75" customHeight="1">
      <c r="A232" s="54">
        <f>+A229+1</f>
        <v>21</v>
      </c>
      <c r="B232" s="12"/>
      <c r="C232" s="80" t="s">
        <v>19</v>
      </c>
      <c r="D232" s="12"/>
      <c r="E232" s="12"/>
      <c r="F232" s="12"/>
      <c r="G232" s="12"/>
      <c r="H232" s="12"/>
      <c r="I232" s="156">
        <v>1230.15</v>
      </c>
      <c r="J232" s="140"/>
      <c r="K232" s="157">
        <v>1230.15</v>
      </c>
      <c r="L232" s="5"/>
      <c r="M232" s="5"/>
      <c r="N232" s="5"/>
      <c r="O232" s="5"/>
      <c r="P232" s="5"/>
      <c r="Q232" s="5"/>
      <c r="R232" s="5"/>
      <c r="S232" s="5"/>
    </row>
    <row r="233" spans="1:19" s="4" customFormat="1" ht="15.75" customHeight="1">
      <c r="A233" s="53"/>
      <c r="B233" s="12"/>
      <c r="C233" s="15" t="s">
        <v>11</v>
      </c>
      <c r="D233" s="12"/>
      <c r="E233" s="12"/>
      <c r="F233" s="12"/>
      <c r="G233" s="12"/>
      <c r="H233" s="12"/>
      <c r="I233" s="158"/>
      <c r="J233" s="140"/>
      <c r="K233" s="159"/>
      <c r="L233" s="5"/>
      <c r="M233" s="5"/>
      <c r="N233" s="5"/>
      <c r="O233" s="5"/>
      <c r="P233" s="5"/>
      <c r="Q233" s="5"/>
      <c r="R233" s="5"/>
      <c r="S233" s="5"/>
    </row>
    <row r="234" spans="1:19" s="4" customFormat="1" ht="15.75" customHeight="1">
      <c r="A234" s="54">
        <f>+A232+1</f>
        <v>22</v>
      </c>
      <c r="B234" s="12"/>
      <c r="C234" s="80" t="s">
        <v>0</v>
      </c>
      <c r="D234" s="12"/>
      <c r="E234" s="12"/>
      <c r="F234" s="12"/>
      <c r="G234" s="12"/>
      <c r="H234" s="12"/>
      <c r="I234" s="156">
        <v>22192.65</v>
      </c>
      <c r="J234" s="140"/>
      <c r="K234" s="157">
        <v>24827.12</v>
      </c>
      <c r="L234" s="5"/>
      <c r="M234" s="5"/>
      <c r="N234" s="5"/>
      <c r="O234" s="5"/>
      <c r="P234" s="5"/>
      <c r="Q234" s="5"/>
      <c r="R234" s="5"/>
      <c r="S234" s="5"/>
    </row>
    <row r="235" spans="1:19" s="4" customFormat="1" ht="15.75" customHeight="1">
      <c r="A235" s="54">
        <f>+A234+1</f>
        <v>23</v>
      </c>
      <c r="B235" s="29"/>
      <c r="C235" s="55" t="s">
        <v>20</v>
      </c>
      <c r="D235" s="12"/>
      <c r="E235" s="12"/>
      <c r="F235" s="12"/>
      <c r="G235" s="12"/>
      <c r="H235" s="29"/>
      <c r="I235" s="327">
        <f>+I230/I232*10</f>
        <v>13.545258708287719</v>
      </c>
      <c r="J235" s="328"/>
      <c r="K235" s="329">
        <f>+K230/K232*10</f>
        <v>20.238101044588014</v>
      </c>
      <c r="L235" s="5"/>
      <c r="M235" s="5"/>
      <c r="N235" s="5"/>
      <c r="O235" s="5"/>
      <c r="P235" s="5"/>
      <c r="Q235" s="5"/>
      <c r="R235" s="5"/>
      <c r="S235" s="5"/>
    </row>
    <row r="236" spans="1:19" s="4" customFormat="1" ht="15.75" customHeight="1">
      <c r="A236" s="54"/>
      <c r="B236" s="29"/>
      <c r="C236" s="55" t="s">
        <v>21</v>
      </c>
      <c r="D236" s="12"/>
      <c r="E236" s="12"/>
      <c r="F236" s="12"/>
      <c r="G236" s="12"/>
      <c r="H236" s="29"/>
      <c r="I236" s="63"/>
      <c r="J236" s="29"/>
      <c r="K236" s="65"/>
      <c r="L236" s="5"/>
      <c r="M236" s="5"/>
      <c r="N236" s="5"/>
      <c r="O236" s="5"/>
      <c r="P236" s="5"/>
      <c r="Q236" s="5"/>
      <c r="R236" s="5"/>
      <c r="S236" s="5"/>
    </row>
    <row r="237" spans="1:19" s="4" customFormat="1" ht="15.75" customHeight="1" thickBot="1">
      <c r="A237" s="59"/>
      <c r="B237" s="60"/>
      <c r="C237" s="81"/>
      <c r="D237" s="47"/>
      <c r="E237" s="47"/>
      <c r="F237" s="47"/>
      <c r="G237" s="47"/>
      <c r="H237" s="60"/>
      <c r="I237" s="71"/>
      <c r="J237" s="60"/>
      <c r="K237" s="67"/>
      <c r="L237" s="5"/>
      <c r="M237" s="5"/>
      <c r="N237" s="5"/>
      <c r="O237" s="5"/>
      <c r="P237" s="5"/>
      <c r="Q237" s="5"/>
      <c r="R237" s="5"/>
      <c r="S237" s="5"/>
    </row>
    <row r="238" spans="1:19" s="4" customFormat="1" ht="15.75" customHeight="1">
      <c r="A238" s="215"/>
      <c r="B238" s="10"/>
      <c r="L238" s="5"/>
      <c r="M238" s="5"/>
      <c r="N238" s="5"/>
      <c r="O238" s="5"/>
      <c r="P238" s="5"/>
      <c r="Q238" s="5"/>
      <c r="R238" s="5"/>
      <c r="S238" s="5"/>
    </row>
    <row r="239" spans="1:19" s="4" customFormat="1" ht="15.75" customHeight="1">
      <c r="A239" s="4" t="s">
        <v>252</v>
      </c>
      <c r="B239" s="10"/>
      <c r="C239" s="10"/>
      <c r="E239" s="331"/>
      <c r="F239" s="331"/>
      <c r="G239" s="331"/>
      <c r="I239" s="12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2:19" s="4" customFormat="1" ht="15.75" customHeight="1">
      <c r="B240" s="10"/>
      <c r="C240" s="10"/>
      <c r="E240" s="331"/>
      <c r="F240" s="331"/>
      <c r="G240" s="331"/>
      <c r="I240" s="12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s="4" customFormat="1" ht="15.75" customHeight="1">
      <c r="A241" s="215">
        <v>1</v>
      </c>
      <c r="B241" s="10"/>
      <c r="C241" s="4" t="s">
        <v>245</v>
      </c>
      <c r="E241" s="331"/>
      <c r="F241" s="331"/>
      <c r="G241" s="331"/>
      <c r="I241" s="12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4" customFormat="1" ht="15.75" customHeight="1">
      <c r="A242" s="215"/>
      <c r="B242" s="10"/>
      <c r="C242" s="4" t="s">
        <v>246</v>
      </c>
      <c r="E242" s="331"/>
      <c r="F242" s="331"/>
      <c r="G242" s="331"/>
      <c r="I242" s="12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s="4" customFormat="1" ht="15.75" customHeight="1">
      <c r="A243" s="215"/>
      <c r="B243" s="10"/>
      <c r="C243" s="4" t="s">
        <v>251</v>
      </c>
      <c r="E243" s="331"/>
      <c r="F243" s="331"/>
      <c r="G243" s="331"/>
      <c r="I243" s="12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s="4" customFormat="1" ht="15.75" customHeight="1">
      <c r="A244" s="162"/>
      <c r="B244" s="162"/>
      <c r="C244" s="162" t="s">
        <v>247</v>
      </c>
      <c r="D244" s="162"/>
      <c r="E244" s="162"/>
      <c r="F244" s="162"/>
      <c r="G244" s="330"/>
      <c r="H244" s="330"/>
      <c r="I244" s="330"/>
      <c r="J244" s="165"/>
      <c r="K244" s="299"/>
      <c r="L244" s="5"/>
      <c r="M244" s="5"/>
      <c r="N244" s="5"/>
      <c r="O244" s="5"/>
      <c r="P244" s="5"/>
      <c r="Q244" s="5"/>
      <c r="R244" s="5"/>
      <c r="S244" s="5"/>
    </row>
    <row r="245" spans="2:19" s="4" customFormat="1" ht="15.75" customHeight="1">
      <c r="B245" s="10"/>
      <c r="C245" s="36" t="s">
        <v>248</v>
      </c>
      <c r="G245" s="331"/>
      <c r="H245" s="331"/>
      <c r="I245" s="331"/>
      <c r="K245" s="12"/>
      <c r="L245" s="5"/>
      <c r="M245" s="5"/>
      <c r="N245" s="5"/>
      <c r="O245" s="5"/>
      <c r="P245" s="5"/>
      <c r="Q245" s="5"/>
      <c r="R245" s="5"/>
      <c r="S245" s="5"/>
    </row>
    <row r="246" spans="2:19" s="4" customFormat="1" ht="15.75" customHeight="1">
      <c r="B246" s="10"/>
      <c r="C246" s="36"/>
      <c r="G246" s="331"/>
      <c r="H246" s="331"/>
      <c r="I246" s="331"/>
      <c r="K246" s="12"/>
      <c r="L246" s="5"/>
      <c r="M246" s="5"/>
      <c r="N246" s="5"/>
      <c r="O246" s="5"/>
      <c r="P246" s="5"/>
      <c r="Q246" s="5"/>
      <c r="R246" s="5"/>
      <c r="S246" s="5"/>
    </row>
    <row r="247" spans="1:19" s="4" customFormat="1" ht="15.75" customHeight="1">
      <c r="A247" s="13">
        <v>2</v>
      </c>
      <c r="B247" s="10"/>
      <c r="C247" s="13" t="s">
        <v>249</v>
      </c>
      <c r="G247" s="331"/>
      <c r="H247" s="331"/>
      <c r="I247" s="331"/>
      <c r="K247" s="12"/>
      <c r="L247" s="5"/>
      <c r="M247" s="5"/>
      <c r="N247" s="5"/>
      <c r="O247" s="5"/>
      <c r="P247" s="5"/>
      <c r="Q247" s="5"/>
      <c r="R247" s="5"/>
      <c r="S247" s="5"/>
    </row>
    <row r="248" spans="1:19" s="4" customFormat="1" ht="15.75" customHeight="1">
      <c r="A248" s="13"/>
      <c r="B248" s="10"/>
      <c r="C248" s="13" t="s">
        <v>250</v>
      </c>
      <c r="G248" s="331"/>
      <c r="H248" s="331"/>
      <c r="I248" s="331"/>
      <c r="K248" s="12"/>
      <c r="L248" s="5"/>
      <c r="M248" s="5"/>
      <c r="N248" s="5"/>
      <c r="O248" s="5"/>
      <c r="P248" s="5"/>
      <c r="Q248" s="5"/>
      <c r="R248" s="5"/>
      <c r="S248" s="5"/>
    </row>
    <row r="249" spans="2:19" s="4" customFormat="1" ht="15.75" customHeight="1">
      <c r="B249" s="10"/>
      <c r="C249" s="10"/>
      <c r="G249" s="331"/>
      <c r="H249" s="331"/>
      <c r="I249" s="331"/>
      <c r="K249" s="12"/>
      <c r="L249" s="5"/>
      <c r="M249" s="5"/>
      <c r="N249" s="5"/>
      <c r="O249" s="5"/>
      <c r="P249" s="5"/>
      <c r="Q249" s="5"/>
      <c r="R249" s="5"/>
      <c r="S249" s="5"/>
    </row>
    <row r="250" spans="1:19" s="4" customFormat="1" ht="15.75" customHeight="1">
      <c r="A250" s="215"/>
      <c r="B250" s="10"/>
      <c r="G250" s="331"/>
      <c r="H250" s="331"/>
      <c r="I250" s="5" t="s">
        <v>134</v>
      </c>
      <c r="J250" s="5"/>
      <c r="P250" s="5"/>
      <c r="Q250" s="5"/>
      <c r="R250" s="5"/>
      <c r="S250" s="5"/>
    </row>
    <row r="251" spans="1:19" s="4" customFormat="1" ht="15.75" customHeight="1">
      <c r="A251" s="215"/>
      <c r="B251" s="10"/>
      <c r="G251" s="331"/>
      <c r="H251" s="331"/>
      <c r="I251" s="5"/>
      <c r="J251" s="5"/>
      <c r="P251" s="5"/>
      <c r="Q251" s="5"/>
      <c r="R251" s="5"/>
      <c r="S251" s="5"/>
    </row>
    <row r="252" spans="1:19" s="4" customFormat="1" ht="12.75" customHeight="1">
      <c r="A252" s="21"/>
      <c r="C252" s="297"/>
      <c r="D252" s="5"/>
      <c r="E252" s="5"/>
      <c r="F252" s="5"/>
      <c r="G252" s="5"/>
      <c r="H252" s="5"/>
      <c r="I252" s="5"/>
      <c r="J252" s="5"/>
      <c r="P252" s="5"/>
      <c r="Q252" s="5"/>
      <c r="R252" s="5"/>
      <c r="S252" s="5"/>
    </row>
    <row r="253" spans="1:19" s="4" customFormat="1" ht="12.75" customHeight="1">
      <c r="A253" s="21"/>
      <c r="C253" s="297"/>
      <c r="D253" s="5"/>
      <c r="E253" s="5"/>
      <c r="F253" s="5"/>
      <c r="G253" s="5"/>
      <c r="H253" s="5"/>
      <c r="I253" s="5"/>
      <c r="J253" s="5"/>
      <c r="P253" s="5"/>
      <c r="Q253" s="5"/>
      <c r="R253" s="5"/>
      <c r="S253" s="5"/>
    </row>
    <row r="254" spans="1:19" s="4" customFormat="1" ht="12.75" customHeight="1">
      <c r="A254" s="21"/>
      <c r="C254" s="297"/>
      <c r="D254" s="5"/>
      <c r="E254" s="5"/>
      <c r="F254" s="5"/>
      <c r="G254" s="5"/>
      <c r="H254" s="5"/>
      <c r="I254" s="136"/>
      <c r="J254" s="5"/>
      <c r="K254" s="134" t="s">
        <v>39</v>
      </c>
      <c r="P254" s="5"/>
      <c r="Q254" s="5"/>
      <c r="R254" s="5"/>
      <c r="S254" s="5"/>
    </row>
    <row r="255" spans="1:19" s="4" customFormat="1" ht="15.75">
      <c r="A255" s="26" t="s">
        <v>201</v>
      </c>
      <c r="C255" s="297"/>
      <c r="D255" s="5"/>
      <c r="E255" s="5"/>
      <c r="F255" s="5"/>
      <c r="G255" s="5"/>
      <c r="H255" s="5"/>
      <c r="I255" s="5" t="s">
        <v>38</v>
      </c>
      <c r="P255" s="5"/>
      <c r="Q255" s="5"/>
      <c r="R255" s="5"/>
      <c r="S255" s="5"/>
    </row>
    <row r="256" spans="1:9" s="4" customFormat="1" ht="15" customHeight="1">
      <c r="A256" s="13"/>
      <c r="C256" s="297"/>
      <c r="I256" s="5"/>
    </row>
    <row r="257" spans="1:9" s="4" customFormat="1" ht="15" customHeight="1">
      <c r="A257" s="13"/>
      <c r="C257" s="297"/>
      <c r="I257" s="5"/>
    </row>
    <row r="258" spans="1:3" s="4" customFormat="1" ht="15.75" customHeight="1">
      <c r="A258" s="13"/>
      <c r="C258" s="297"/>
    </row>
    <row r="259" spans="1:3" s="4" customFormat="1" ht="14.25" customHeight="1">
      <c r="A259" s="13"/>
      <c r="C259" s="298"/>
    </row>
    <row r="260" spans="1:3" s="4" customFormat="1" ht="15" customHeight="1">
      <c r="A260" s="13"/>
      <c r="C260" s="297"/>
    </row>
    <row r="261" s="4" customFormat="1" ht="15" customHeight="1"/>
    <row r="262" spans="1:13" s="4" customFormat="1" ht="0.75" customHeight="1" hidden="1">
      <c r="A262" s="26"/>
      <c r="M262" s="5"/>
    </row>
    <row r="263" spans="1:17" s="4" customFormat="1" ht="15.75">
      <c r="A263" s="26"/>
      <c r="B263" s="12"/>
      <c r="C263" s="22"/>
      <c r="D263" s="22"/>
      <c r="E263" s="22"/>
      <c r="F263" s="22"/>
      <c r="G263" s="22"/>
      <c r="H263" s="22"/>
      <c r="J263" s="12"/>
      <c r="K263" s="12"/>
      <c r="L263" s="12"/>
      <c r="M263" s="12"/>
      <c r="N263" s="12"/>
      <c r="O263" s="12"/>
      <c r="P263" s="12"/>
      <c r="Q263" s="12"/>
    </row>
    <row r="264" s="4" customFormat="1" ht="15.75">
      <c r="A264" s="13"/>
    </row>
    <row r="265" s="4" customFormat="1" ht="15.75">
      <c r="A265" s="13"/>
    </row>
    <row r="266" s="4" customFormat="1" ht="15.75">
      <c r="A266" s="13"/>
    </row>
    <row r="267" s="4" customFormat="1" ht="15.75">
      <c r="A267" s="13"/>
    </row>
    <row r="268" s="4" customFormat="1" ht="15.75">
      <c r="A268" s="13"/>
    </row>
    <row r="269" s="4" customFormat="1" ht="15.75">
      <c r="A269" s="13"/>
    </row>
    <row r="270" s="4" customFormat="1" ht="15.75">
      <c r="A270" s="13"/>
    </row>
    <row r="271" s="4" customFormat="1" ht="15.75">
      <c r="A271" s="13"/>
    </row>
    <row r="272" s="4" customFormat="1" ht="15.75">
      <c r="A272" s="13"/>
    </row>
    <row r="273" s="4" customFormat="1" ht="15.75">
      <c r="A273" s="13"/>
    </row>
    <row r="274" s="4" customFormat="1" ht="15.75">
      <c r="A274" s="13"/>
    </row>
    <row r="275" s="4" customFormat="1" ht="15.75">
      <c r="A275" s="13"/>
    </row>
    <row r="276" s="4" customFormat="1" ht="15.75">
      <c r="A276" s="13"/>
    </row>
    <row r="277" s="4" customFormat="1" ht="15.75">
      <c r="A277" s="13"/>
    </row>
    <row r="278" s="4" customFormat="1" ht="15.75">
      <c r="A278" s="13"/>
    </row>
    <row r="279" s="4" customFormat="1" ht="15.75">
      <c r="A279" s="13"/>
    </row>
    <row r="280" s="4" customFormat="1" ht="15.75">
      <c r="A280" s="13"/>
    </row>
    <row r="281" s="4" customFormat="1" ht="15.75">
      <c r="A281" s="13"/>
    </row>
    <row r="282" s="4" customFormat="1" ht="15.75">
      <c r="A282" s="13"/>
    </row>
    <row r="283" s="4" customFormat="1" ht="15.75">
      <c r="A283" s="13"/>
    </row>
    <row r="284" s="4" customFormat="1" ht="15.75">
      <c r="A284" s="13"/>
    </row>
    <row r="285" s="4" customFormat="1" ht="15.75">
      <c r="A285" s="13"/>
    </row>
    <row r="286" s="4" customFormat="1" ht="15.75">
      <c r="A286" s="13"/>
    </row>
    <row r="287" s="4" customFormat="1" ht="15.75">
      <c r="A287" s="13"/>
    </row>
    <row r="288" s="4" customFormat="1" ht="15.75">
      <c r="A288" s="13"/>
    </row>
    <row r="289" s="4" customFormat="1" ht="15.75">
      <c r="A289" s="13"/>
    </row>
    <row r="290" s="4" customFormat="1" ht="15.75">
      <c r="A290" s="13"/>
    </row>
    <row r="291" s="4" customFormat="1" ht="15.75">
      <c r="A291" s="13"/>
    </row>
    <row r="292" s="4" customFormat="1" ht="15.75">
      <c r="A292" s="13"/>
    </row>
    <row r="293" s="4" customFormat="1" ht="15.75">
      <c r="A293" s="13"/>
    </row>
    <row r="294" s="4" customFormat="1" ht="15.75">
      <c r="A294" s="13"/>
    </row>
    <row r="295" s="4" customFormat="1" ht="15.75">
      <c r="A295" s="13"/>
    </row>
    <row r="296" s="4" customFormat="1" ht="15.75">
      <c r="A296" s="13"/>
    </row>
    <row r="297" s="4" customFormat="1" ht="15.75">
      <c r="A297" s="13"/>
    </row>
    <row r="298" s="4" customFormat="1" ht="15.75">
      <c r="A298" s="13"/>
    </row>
    <row r="299" s="4" customFormat="1" ht="15.75">
      <c r="A299" s="13"/>
    </row>
    <row r="300" s="4" customFormat="1" ht="15.75">
      <c r="A300" s="13"/>
    </row>
    <row r="301" s="4" customFormat="1" ht="15.75">
      <c r="A301" s="13"/>
    </row>
    <row r="302" s="4" customFormat="1" ht="15.75">
      <c r="A302" s="13"/>
    </row>
    <row r="303" s="4" customFormat="1" ht="15.75">
      <c r="A303" s="13"/>
    </row>
    <row r="304" s="4" customFormat="1" ht="15.75">
      <c r="A304" s="13"/>
    </row>
    <row r="305" s="4" customFormat="1" ht="15.75">
      <c r="A305" s="13"/>
    </row>
    <row r="306" s="4" customFormat="1" ht="15.75">
      <c r="A306" s="13"/>
    </row>
    <row r="307" s="4" customFormat="1" ht="15.75">
      <c r="A307" s="13"/>
    </row>
    <row r="308" s="4" customFormat="1" ht="15.75">
      <c r="A308" s="13"/>
    </row>
    <row r="309" s="4" customFormat="1" ht="15.75">
      <c r="A309" s="13"/>
    </row>
    <row r="310" s="4" customFormat="1" ht="15.75">
      <c r="A310" s="13"/>
    </row>
    <row r="311" s="4" customFormat="1" ht="15.75">
      <c r="A311" s="13"/>
    </row>
    <row r="312" s="4" customFormat="1" ht="15.75">
      <c r="A312" s="13"/>
    </row>
    <row r="313" s="4" customFormat="1" ht="15.75">
      <c r="A313" s="13"/>
    </row>
    <row r="314" s="4" customFormat="1" ht="15.75">
      <c r="A314" s="13"/>
    </row>
    <row r="315" s="4" customFormat="1" ht="15.75">
      <c r="A315" s="13"/>
    </row>
    <row r="316" s="4" customFormat="1" ht="15.75">
      <c r="A316" s="13"/>
    </row>
    <row r="317" s="4" customFormat="1" ht="15.75">
      <c r="A317" s="13"/>
    </row>
    <row r="318" s="4" customFormat="1" ht="15.75">
      <c r="A318" s="13"/>
    </row>
    <row r="319" s="4" customFormat="1" ht="15.75">
      <c r="A319" s="13"/>
    </row>
    <row r="320" s="4" customFormat="1" ht="15.75">
      <c r="A320" s="13"/>
    </row>
    <row r="321" s="4" customFormat="1" ht="15.75">
      <c r="A321" s="13"/>
    </row>
    <row r="322" s="4" customFormat="1" ht="15.75">
      <c r="A322" s="13"/>
    </row>
    <row r="323" s="4" customFormat="1" ht="15.75">
      <c r="A323" s="13"/>
    </row>
    <row r="324" s="4" customFormat="1" ht="15.75">
      <c r="A324" s="13"/>
    </row>
    <row r="325" s="4" customFormat="1" ht="15.75">
      <c r="A325" s="13"/>
    </row>
    <row r="326" s="4" customFormat="1" ht="15.75">
      <c r="A326" s="13"/>
    </row>
    <row r="327" s="4" customFormat="1" ht="15.75">
      <c r="A327" s="13"/>
    </row>
    <row r="328" s="4" customFormat="1" ht="15.75">
      <c r="A328" s="13"/>
    </row>
    <row r="329" s="4" customFormat="1" ht="15.75">
      <c r="A329" s="13"/>
    </row>
    <row r="330" s="4" customFormat="1" ht="15.75">
      <c r="A330" s="13"/>
    </row>
    <row r="331" s="4" customFormat="1" ht="15.75">
      <c r="A331" s="13"/>
    </row>
    <row r="332" s="4" customFormat="1" ht="15.75">
      <c r="A332" s="13"/>
    </row>
    <row r="333" s="4" customFormat="1" ht="15.75">
      <c r="A333" s="13"/>
    </row>
    <row r="334" s="4" customFormat="1" ht="15.75">
      <c r="A334" s="13"/>
    </row>
    <row r="335" s="4" customFormat="1" ht="15.75">
      <c r="A335" s="13"/>
    </row>
    <row r="336" s="4" customFormat="1" ht="15.75">
      <c r="A336" s="13"/>
    </row>
    <row r="337" s="4" customFormat="1" ht="15.75">
      <c r="A337" s="13"/>
    </row>
    <row r="338" s="4" customFormat="1" ht="15.75">
      <c r="A338" s="13"/>
    </row>
    <row r="339" s="4" customFormat="1" ht="15.75">
      <c r="A339" s="13"/>
    </row>
    <row r="340" s="4" customFormat="1" ht="15.75">
      <c r="A340" s="13"/>
    </row>
    <row r="341" s="4" customFormat="1" ht="15.75">
      <c r="A341" s="13"/>
    </row>
    <row r="342" s="4" customFormat="1" ht="15.75">
      <c r="A342" s="13"/>
    </row>
    <row r="343" s="4" customFormat="1" ht="15.75">
      <c r="A343" s="13"/>
    </row>
    <row r="344" s="4" customFormat="1" ht="15.75">
      <c r="A344" s="13"/>
    </row>
    <row r="345" s="4" customFormat="1" ht="15.75">
      <c r="A345" s="13"/>
    </row>
    <row r="346" s="4" customFormat="1" ht="15.75">
      <c r="A346" s="13"/>
    </row>
    <row r="347" s="4" customFormat="1" ht="15.75">
      <c r="A347" s="13"/>
    </row>
    <row r="348" s="4" customFormat="1" ht="15.75">
      <c r="A348" s="13"/>
    </row>
    <row r="349" s="4" customFormat="1" ht="15.75">
      <c r="A349" s="13"/>
    </row>
    <row r="350" s="4" customFormat="1" ht="15.75">
      <c r="A350" s="13"/>
    </row>
    <row r="351" s="4" customFormat="1" ht="15.75">
      <c r="A351" s="13"/>
    </row>
    <row r="352" s="4" customFormat="1" ht="15.75">
      <c r="A352" s="13"/>
    </row>
    <row r="353" s="4" customFormat="1" ht="15.75">
      <c r="A353" s="13"/>
    </row>
    <row r="354" s="4" customFormat="1" ht="15.75">
      <c r="A354" s="13"/>
    </row>
    <row r="355" s="4" customFormat="1" ht="15.75">
      <c r="A355" s="13"/>
    </row>
    <row r="356" s="4" customFormat="1" ht="15.75">
      <c r="A356" s="13"/>
    </row>
    <row r="357" s="4" customFormat="1" ht="15.75">
      <c r="A357" s="13"/>
    </row>
    <row r="358" s="4" customFormat="1" ht="15.75">
      <c r="A358" s="13"/>
    </row>
    <row r="359" s="4" customFormat="1" ht="15.75">
      <c r="A359" s="13"/>
    </row>
    <row r="360" s="4" customFormat="1" ht="15.75">
      <c r="A360" s="13"/>
    </row>
    <row r="361" s="4" customFormat="1" ht="15.75">
      <c r="A361" s="13"/>
    </row>
    <row r="362" s="4" customFormat="1" ht="15.75">
      <c r="A362" s="13"/>
    </row>
    <row r="363" s="4" customFormat="1" ht="15.75">
      <c r="A363" s="13"/>
    </row>
    <row r="364" s="4" customFormat="1" ht="15.75">
      <c r="A364" s="13"/>
    </row>
    <row r="365" s="4" customFormat="1" ht="15.75">
      <c r="A365" s="13"/>
    </row>
    <row r="366" s="4" customFormat="1" ht="15.75">
      <c r="A366" s="13"/>
    </row>
    <row r="367" s="4" customFormat="1" ht="15.75">
      <c r="A367" s="13"/>
    </row>
    <row r="368" s="4" customFormat="1" ht="15.75">
      <c r="A368" s="13"/>
    </row>
    <row r="369" s="4" customFormat="1" ht="15.75">
      <c r="A369" s="13"/>
    </row>
    <row r="370" s="4" customFormat="1" ht="15.75">
      <c r="A370" s="13"/>
    </row>
    <row r="371" s="4" customFormat="1" ht="15.75">
      <c r="A371" s="13"/>
    </row>
    <row r="372" s="4" customFormat="1" ht="15.75">
      <c r="A372" s="13"/>
    </row>
    <row r="373" s="4" customFormat="1" ht="15.75">
      <c r="A373" s="13"/>
    </row>
    <row r="374" s="4" customFormat="1" ht="15.75">
      <c r="A374" s="13"/>
    </row>
    <row r="375" s="4" customFormat="1" ht="15.75">
      <c r="A375" s="13"/>
    </row>
    <row r="376" s="4" customFormat="1" ht="15.75">
      <c r="A376" s="13"/>
    </row>
    <row r="377" s="4" customFormat="1" ht="15.75">
      <c r="A377" s="13"/>
    </row>
    <row r="378" s="4" customFormat="1" ht="15.75">
      <c r="A378" s="13"/>
    </row>
    <row r="379" s="4" customFormat="1" ht="15.75">
      <c r="A379" s="13"/>
    </row>
    <row r="380" s="4" customFormat="1" ht="15.75">
      <c r="A380" s="13"/>
    </row>
    <row r="381" s="4" customFormat="1" ht="15.75">
      <c r="A381" s="13"/>
    </row>
    <row r="382" s="4" customFormat="1" ht="15.75">
      <c r="A382" s="13"/>
    </row>
    <row r="383" s="4" customFormat="1" ht="15.75">
      <c r="A383" s="13"/>
    </row>
    <row r="384" s="4" customFormat="1" ht="15.75">
      <c r="A384" s="13"/>
    </row>
    <row r="385" s="4" customFormat="1" ht="15.75">
      <c r="A385" s="13"/>
    </row>
    <row r="386" s="4" customFormat="1" ht="15.75">
      <c r="A386" s="13"/>
    </row>
    <row r="387" s="4" customFormat="1" ht="15.75">
      <c r="A387" s="13"/>
    </row>
    <row r="388" s="4" customFormat="1" ht="15.75">
      <c r="A388" s="13"/>
    </row>
    <row r="389" s="4" customFormat="1" ht="15.75">
      <c r="A389" s="13"/>
    </row>
    <row r="390" s="4" customFormat="1" ht="15.75">
      <c r="A390" s="13"/>
    </row>
    <row r="391" s="4" customFormat="1" ht="15.75">
      <c r="A391" s="13"/>
    </row>
    <row r="392" s="4" customFormat="1" ht="15.75">
      <c r="A392" s="13"/>
    </row>
    <row r="393" s="4" customFormat="1" ht="15.75">
      <c r="A393" s="13"/>
    </row>
    <row r="394" s="4" customFormat="1" ht="15.75">
      <c r="A394" s="13"/>
    </row>
    <row r="395" s="4" customFormat="1" ht="15.75">
      <c r="A395" s="13"/>
    </row>
    <row r="396" s="4" customFormat="1" ht="15.75">
      <c r="A396" s="13"/>
    </row>
    <row r="397" s="4" customFormat="1" ht="15.75">
      <c r="A397" s="13"/>
    </row>
    <row r="398" s="4" customFormat="1" ht="15.75">
      <c r="A398" s="13"/>
    </row>
    <row r="399" s="4" customFormat="1" ht="15.75">
      <c r="A399" s="13"/>
    </row>
    <row r="400" s="4" customFormat="1" ht="15.75">
      <c r="A400" s="13"/>
    </row>
    <row r="401" s="4" customFormat="1" ht="15.75">
      <c r="A401" s="13"/>
    </row>
    <row r="402" s="4" customFormat="1" ht="15.75">
      <c r="A402" s="13"/>
    </row>
    <row r="403" s="4" customFormat="1" ht="15.75">
      <c r="A403" s="13"/>
    </row>
    <row r="404" s="4" customFormat="1" ht="15.75">
      <c r="A404" s="13"/>
    </row>
    <row r="405" s="4" customFormat="1" ht="15.75">
      <c r="A405" s="13"/>
    </row>
    <row r="406" s="4" customFormat="1" ht="15.75">
      <c r="A406" s="13"/>
    </row>
    <row r="407" s="4" customFormat="1" ht="15.75">
      <c r="A407" s="13"/>
    </row>
    <row r="408" s="4" customFormat="1" ht="15.75">
      <c r="A408" s="13"/>
    </row>
    <row r="409" s="4" customFormat="1" ht="15.75">
      <c r="A409" s="13"/>
    </row>
    <row r="410" s="4" customFormat="1" ht="15.75">
      <c r="A410" s="13"/>
    </row>
    <row r="411" s="4" customFormat="1" ht="15.75">
      <c r="A411" s="13"/>
    </row>
    <row r="412" s="4" customFormat="1" ht="15.75">
      <c r="A412" s="13"/>
    </row>
    <row r="413" s="4" customFormat="1" ht="15.75">
      <c r="A413" s="13"/>
    </row>
    <row r="414" s="4" customFormat="1" ht="15.75">
      <c r="A414" s="13"/>
    </row>
    <row r="415" s="4" customFormat="1" ht="15.75">
      <c r="A415" s="13"/>
    </row>
    <row r="416" s="4" customFormat="1" ht="15.75">
      <c r="A416" s="13"/>
    </row>
    <row r="417" s="4" customFormat="1" ht="15.75">
      <c r="A417" s="13"/>
    </row>
    <row r="418" s="4" customFormat="1" ht="15.75">
      <c r="A418" s="13"/>
    </row>
    <row r="419" s="4" customFormat="1" ht="15.75">
      <c r="A419" s="13"/>
    </row>
    <row r="420" s="4" customFormat="1" ht="15.75">
      <c r="A420" s="13"/>
    </row>
    <row r="421" s="4" customFormat="1" ht="15.75">
      <c r="A421" s="13"/>
    </row>
    <row r="422" s="4" customFormat="1" ht="15.75">
      <c r="A422" s="13"/>
    </row>
    <row r="423" s="4" customFormat="1" ht="15.75">
      <c r="A423" s="13"/>
    </row>
    <row r="424" s="4" customFormat="1" ht="15.75">
      <c r="A424" s="13"/>
    </row>
    <row r="425" s="4" customFormat="1" ht="15.75">
      <c r="A425" s="13"/>
    </row>
    <row r="426" s="4" customFormat="1" ht="15.75">
      <c r="A426" s="13"/>
    </row>
    <row r="427" s="4" customFormat="1" ht="15.75">
      <c r="A427" s="13"/>
    </row>
    <row r="428" s="4" customFormat="1" ht="15.75">
      <c r="A428" s="13"/>
    </row>
    <row r="429" s="4" customFormat="1" ht="15.75">
      <c r="A429" s="13"/>
    </row>
    <row r="430" s="4" customFormat="1" ht="15.75">
      <c r="A430" s="13"/>
    </row>
    <row r="431" s="4" customFormat="1" ht="15.75">
      <c r="A431" s="13"/>
    </row>
    <row r="432" s="4" customFormat="1" ht="15.75">
      <c r="A432" s="13"/>
    </row>
    <row r="433" s="4" customFormat="1" ht="15.75">
      <c r="A433" s="13"/>
    </row>
    <row r="434" s="4" customFormat="1" ht="15.75">
      <c r="A434" s="13"/>
    </row>
    <row r="435" s="4" customFormat="1" ht="15.75">
      <c r="A435" s="13"/>
    </row>
    <row r="436" s="4" customFormat="1" ht="15.75">
      <c r="A436" s="13"/>
    </row>
    <row r="437" s="4" customFormat="1" ht="15.75">
      <c r="A437" s="13"/>
    </row>
    <row r="438" s="4" customFormat="1" ht="15.75">
      <c r="A438" s="13"/>
    </row>
    <row r="439" s="4" customFormat="1" ht="15.75">
      <c r="A439" s="13"/>
    </row>
    <row r="440" s="4" customFormat="1" ht="15.75">
      <c r="A440" s="13"/>
    </row>
    <row r="441" s="4" customFormat="1" ht="15.75">
      <c r="A441" s="13"/>
    </row>
    <row r="442" s="4" customFormat="1" ht="15.75">
      <c r="A442" s="13"/>
    </row>
    <row r="443" s="4" customFormat="1" ht="15.75">
      <c r="A443" s="13"/>
    </row>
    <row r="444" s="4" customFormat="1" ht="15.75">
      <c r="A444" s="13"/>
    </row>
    <row r="445" s="4" customFormat="1" ht="15.75">
      <c r="A445" s="13"/>
    </row>
    <row r="446" s="4" customFormat="1" ht="15.75">
      <c r="A446" s="13"/>
    </row>
    <row r="447" s="4" customFormat="1" ht="15.75">
      <c r="A447" s="13"/>
    </row>
    <row r="448" s="4" customFormat="1" ht="15.75">
      <c r="A448" s="13"/>
    </row>
    <row r="449" s="4" customFormat="1" ht="15.75">
      <c r="A449" s="13"/>
    </row>
    <row r="450" s="4" customFormat="1" ht="15.75">
      <c r="A450" s="13"/>
    </row>
    <row r="451" s="4" customFormat="1" ht="15.75">
      <c r="A451" s="13"/>
    </row>
    <row r="452" s="4" customFormat="1" ht="15.75">
      <c r="A452" s="13"/>
    </row>
    <row r="453" s="4" customFormat="1" ht="15.75">
      <c r="A453" s="13"/>
    </row>
    <row r="454" s="4" customFormat="1" ht="15.75">
      <c r="A454" s="13"/>
    </row>
    <row r="455" s="4" customFormat="1" ht="15.75">
      <c r="A455" s="13"/>
    </row>
    <row r="456" s="4" customFormat="1" ht="15.75">
      <c r="A456" s="13"/>
    </row>
    <row r="457" s="4" customFormat="1" ht="15.75">
      <c r="A457" s="13"/>
    </row>
    <row r="458" s="4" customFormat="1" ht="15.75">
      <c r="A458" s="13"/>
    </row>
    <row r="459" s="4" customFormat="1" ht="15.75">
      <c r="A459" s="13"/>
    </row>
    <row r="460" s="4" customFormat="1" ht="15.75">
      <c r="A460" s="13"/>
    </row>
    <row r="461" s="4" customFormat="1" ht="15.75">
      <c r="A461" s="13"/>
    </row>
    <row r="462" s="4" customFormat="1" ht="15.75">
      <c r="A462" s="13"/>
    </row>
    <row r="463" s="4" customFormat="1" ht="15.75">
      <c r="A463" s="13"/>
    </row>
    <row r="464" s="4" customFormat="1" ht="15.75">
      <c r="A464" s="13"/>
    </row>
    <row r="465" s="4" customFormat="1" ht="15.75">
      <c r="A465" s="13"/>
    </row>
    <row r="466" s="4" customFormat="1" ht="15.75">
      <c r="A466" s="13"/>
    </row>
    <row r="467" s="4" customFormat="1" ht="15.75">
      <c r="A467" s="13"/>
    </row>
    <row r="468" s="4" customFormat="1" ht="15.75">
      <c r="A468" s="13"/>
    </row>
    <row r="469" s="4" customFormat="1" ht="15.75">
      <c r="A469" s="13"/>
    </row>
    <row r="470" s="4" customFormat="1" ht="15.75">
      <c r="A470" s="13"/>
    </row>
    <row r="471" s="4" customFormat="1" ht="15.75">
      <c r="A471" s="13"/>
    </row>
    <row r="472" s="4" customFormat="1" ht="15.75">
      <c r="A472" s="13"/>
    </row>
    <row r="473" s="4" customFormat="1" ht="15.75">
      <c r="A473" s="13"/>
    </row>
    <row r="474" s="4" customFormat="1" ht="15.75">
      <c r="A474" s="13"/>
    </row>
    <row r="475" s="4" customFormat="1" ht="15.75">
      <c r="A475" s="13"/>
    </row>
    <row r="476" s="4" customFormat="1" ht="15.75">
      <c r="A476" s="13"/>
    </row>
    <row r="477" s="4" customFormat="1" ht="15.75">
      <c r="A477" s="13"/>
    </row>
    <row r="478" s="4" customFormat="1" ht="15.75">
      <c r="A478" s="13"/>
    </row>
    <row r="479" s="4" customFormat="1" ht="15.75">
      <c r="A479" s="13"/>
    </row>
    <row r="480" s="4" customFormat="1" ht="15.75">
      <c r="A480" s="13"/>
    </row>
    <row r="481" s="4" customFormat="1" ht="15.75">
      <c r="A481" s="13"/>
    </row>
    <row r="482" s="4" customFormat="1" ht="15.75">
      <c r="A482" s="13"/>
    </row>
    <row r="483" s="4" customFormat="1" ht="15.75">
      <c r="A483" s="13"/>
    </row>
    <row r="484" s="4" customFormat="1" ht="15.75">
      <c r="A484" s="13"/>
    </row>
    <row r="485" s="4" customFormat="1" ht="15.75">
      <c r="A485" s="13"/>
    </row>
    <row r="486" s="4" customFormat="1" ht="15.75">
      <c r="A486" s="13"/>
    </row>
    <row r="487" s="4" customFormat="1" ht="15.75">
      <c r="A487" s="13"/>
    </row>
    <row r="488" s="4" customFormat="1" ht="15.75">
      <c r="A488" s="13"/>
    </row>
    <row r="489" s="4" customFormat="1" ht="15.75">
      <c r="A489" s="13"/>
    </row>
    <row r="490" s="4" customFormat="1" ht="15.75">
      <c r="A490" s="13"/>
    </row>
    <row r="491" s="4" customFormat="1" ht="15.75">
      <c r="A491" s="13"/>
    </row>
    <row r="492" s="4" customFormat="1" ht="15.75">
      <c r="A492" s="13"/>
    </row>
    <row r="493" s="4" customFormat="1" ht="15.75">
      <c r="A493" s="13"/>
    </row>
    <row r="494" s="4" customFormat="1" ht="15.75">
      <c r="A494" s="13"/>
    </row>
    <row r="495" s="4" customFormat="1" ht="15.75">
      <c r="A495" s="13"/>
    </row>
    <row r="496" s="4" customFormat="1" ht="15.75">
      <c r="A496" s="13"/>
    </row>
    <row r="497" s="4" customFormat="1" ht="15.75">
      <c r="A497" s="13"/>
    </row>
    <row r="498" s="4" customFormat="1" ht="15.75">
      <c r="A498" s="13"/>
    </row>
    <row r="499" s="4" customFormat="1" ht="15.75">
      <c r="A499" s="13"/>
    </row>
    <row r="500" s="4" customFormat="1" ht="15.75">
      <c r="A500" s="13"/>
    </row>
    <row r="501" s="4" customFormat="1" ht="15.75">
      <c r="A501" s="13"/>
    </row>
    <row r="502" s="4" customFormat="1" ht="15.75">
      <c r="A502" s="13"/>
    </row>
    <row r="503" s="4" customFormat="1" ht="15.75">
      <c r="A503" s="13"/>
    </row>
    <row r="504" s="4" customFormat="1" ht="15.75">
      <c r="A504" s="13"/>
    </row>
    <row r="505" s="4" customFormat="1" ht="15.75">
      <c r="A505" s="13"/>
    </row>
    <row r="506" s="4" customFormat="1" ht="15.75">
      <c r="A506" s="13"/>
    </row>
    <row r="507" s="4" customFormat="1" ht="15.75">
      <c r="A507" s="13"/>
    </row>
    <row r="508" s="4" customFormat="1" ht="15.75">
      <c r="A508" s="13"/>
    </row>
    <row r="509" s="4" customFormat="1" ht="15.75">
      <c r="A509" s="13"/>
    </row>
    <row r="510" s="4" customFormat="1" ht="15.75">
      <c r="A510" s="13"/>
    </row>
    <row r="511" s="4" customFormat="1" ht="15.75">
      <c r="A511" s="13"/>
    </row>
    <row r="512" s="4" customFormat="1" ht="15.75">
      <c r="A512" s="13"/>
    </row>
    <row r="513" s="4" customFormat="1" ht="15.75">
      <c r="A513" s="13"/>
    </row>
    <row r="514" s="4" customFormat="1" ht="15.75">
      <c r="A514" s="13"/>
    </row>
    <row r="515" s="4" customFormat="1" ht="15.75">
      <c r="A515" s="13"/>
    </row>
    <row r="516" s="4" customFormat="1" ht="15.75">
      <c r="A516" s="13"/>
    </row>
    <row r="517" s="4" customFormat="1" ht="15.75">
      <c r="A517" s="13"/>
    </row>
    <row r="518" s="4" customFormat="1" ht="15.75">
      <c r="A518" s="13"/>
    </row>
    <row r="519" s="4" customFormat="1" ht="15.75">
      <c r="A519" s="13"/>
    </row>
    <row r="520" s="4" customFormat="1" ht="15.75">
      <c r="A520" s="13"/>
    </row>
    <row r="521" s="4" customFormat="1" ht="15.75">
      <c r="A521" s="13"/>
    </row>
    <row r="522" s="4" customFormat="1" ht="15.75">
      <c r="A522" s="13"/>
    </row>
    <row r="523" s="4" customFormat="1" ht="15.75">
      <c r="A523" s="13"/>
    </row>
    <row r="524" s="4" customFormat="1" ht="15.75">
      <c r="A524" s="13"/>
    </row>
    <row r="525" s="4" customFormat="1" ht="15.75">
      <c r="A525" s="13"/>
    </row>
    <row r="526" s="4" customFormat="1" ht="15.75">
      <c r="A526" s="13"/>
    </row>
    <row r="527" s="4" customFormat="1" ht="15.75">
      <c r="A527" s="13"/>
    </row>
    <row r="528" s="4" customFormat="1" ht="15.75">
      <c r="A528" s="13"/>
    </row>
    <row r="529" s="4" customFormat="1" ht="15.75">
      <c r="A529" s="13"/>
    </row>
    <row r="530" s="4" customFormat="1" ht="15.75">
      <c r="A530" s="13"/>
    </row>
    <row r="531" s="4" customFormat="1" ht="15.75">
      <c r="A531" s="13"/>
    </row>
    <row r="532" s="4" customFormat="1" ht="15.75">
      <c r="A532" s="13"/>
    </row>
    <row r="533" s="4" customFormat="1" ht="15.75">
      <c r="A533" s="13"/>
    </row>
    <row r="534" s="4" customFormat="1" ht="15.75">
      <c r="A534" s="13"/>
    </row>
    <row r="535" s="4" customFormat="1" ht="15.75">
      <c r="A535" s="13"/>
    </row>
    <row r="536" s="4" customFormat="1" ht="15.75">
      <c r="A536" s="13"/>
    </row>
    <row r="537" s="4" customFormat="1" ht="15.75">
      <c r="A537" s="13"/>
    </row>
    <row r="538" s="4" customFormat="1" ht="15.75">
      <c r="A538" s="13"/>
    </row>
    <row r="539" s="4" customFormat="1" ht="15.75">
      <c r="A539" s="13"/>
    </row>
    <row r="540" s="4" customFormat="1" ht="15.75">
      <c r="A540" s="13"/>
    </row>
    <row r="541" s="4" customFormat="1" ht="15.75">
      <c r="A541" s="13"/>
    </row>
    <row r="542" s="4" customFormat="1" ht="15.75">
      <c r="A542" s="13"/>
    </row>
    <row r="543" s="4" customFormat="1" ht="15.75">
      <c r="A543" s="13"/>
    </row>
    <row r="544" s="4" customFormat="1" ht="15.75">
      <c r="A544" s="13"/>
    </row>
    <row r="545" s="4" customFormat="1" ht="15.75">
      <c r="A545" s="13"/>
    </row>
    <row r="546" s="4" customFormat="1" ht="15.75">
      <c r="A546" s="13"/>
    </row>
    <row r="547" s="4" customFormat="1" ht="15.75">
      <c r="A547" s="13"/>
    </row>
    <row r="548" s="4" customFormat="1" ht="15.75">
      <c r="A548" s="13"/>
    </row>
    <row r="549" s="4" customFormat="1" ht="15.75">
      <c r="A549" s="13"/>
    </row>
    <row r="550" s="4" customFormat="1" ht="15.75">
      <c r="A550" s="13"/>
    </row>
    <row r="551" s="4" customFormat="1" ht="15.75">
      <c r="A551" s="13"/>
    </row>
    <row r="552" s="4" customFormat="1" ht="15.75">
      <c r="A552" s="13"/>
    </row>
    <row r="553" s="4" customFormat="1" ht="15.75">
      <c r="A553" s="13"/>
    </row>
    <row r="554" s="4" customFormat="1" ht="15.75">
      <c r="A554" s="13"/>
    </row>
    <row r="555" s="4" customFormat="1" ht="15.75">
      <c r="A555" s="13"/>
    </row>
    <row r="556" s="4" customFormat="1" ht="15.75">
      <c r="A556" s="13"/>
    </row>
    <row r="557" s="4" customFormat="1" ht="15.75">
      <c r="A557" s="13"/>
    </row>
    <row r="558" s="4" customFormat="1" ht="15.75">
      <c r="A558" s="13"/>
    </row>
    <row r="559" s="4" customFormat="1" ht="15.75">
      <c r="A559" s="13"/>
    </row>
    <row r="560" s="4" customFormat="1" ht="15.75">
      <c r="A560" s="13"/>
    </row>
    <row r="561" s="4" customFormat="1" ht="15.75">
      <c r="A561" s="13"/>
    </row>
    <row r="562" s="4" customFormat="1" ht="15.75">
      <c r="A562" s="13"/>
    </row>
    <row r="563" s="4" customFormat="1" ht="15.75">
      <c r="A563" s="13"/>
    </row>
    <row r="564" s="4" customFormat="1" ht="15.75">
      <c r="A564" s="13"/>
    </row>
    <row r="565" s="4" customFormat="1" ht="15.75">
      <c r="A565" s="13"/>
    </row>
    <row r="566" s="4" customFormat="1" ht="15.75">
      <c r="A566" s="13"/>
    </row>
    <row r="567" s="4" customFormat="1" ht="15.75">
      <c r="A567" s="13"/>
    </row>
    <row r="568" s="4" customFormat="1" ht="15.75">
      <c r="A568" s="13"/>
    </row>
    <row r="569" s="4" customFormat="1" ht="15.75">
      <c r="A569" s="13"/>
    </row>
    <row r="570" s="4" customFormat="1" ht="15.75">
      <c r="A570" s="13"/>
    </row>
    <row r="571" s="4" customFormat="1" ht="15.75">
      <c r="A571" s="13"/>
    </row>
    <row r="572" s="4" customFormat="1" ht="15.75">
      <c r="A572" s="13"/>
    </row>
    <row r="573" s="4" customFormat="1" ht="15.75">
      <c r="A573" s="13"/>
    </row>
    <row r="574" s="4" customFormat="1" ht="15.75">
      <c r="A574" s="13"/>
    </row>
    <row r="575" s="4" customFormat="1" ht="15.75">
      <c r="A575" s="13"/>
    </row>
    <row r="576" s="4" customFormat="1" ht="15.75">
      <c r="A576" s="13"/>
    </row>
    <row r="577" s="4" customFormat="1" ht="15.75">
      <c r="A577" s="13"/>
    </row>
    <row r="578" s="4" customFormat="1" ht="15.75">
      <c r="A578" s="13"/>
    </row>
    <row r="579" s="4" customFormat="1" ht="15.75">
      <c r="A579" s="13"/>
    </row>
    <row r="580" s="4" customFormat="1" ht="15.75">
      <c r="A580" s="13"/>
    </row>
    <row r="581" s="4" customFormat="1" ht="15.75">
      <c r="A581" s="13"/>
    </row>
    <row r="582" s="4" customFormat="1" ht="15.75">
      <c r="A582" s="13"/>
    </row>
    <row r="583" s="4" customFormat="1" ht="15.75">
      <c r="A583" s="13"/>
    </row>
    <row r="584" s="4" customFormat="1" ht="15.75">
      <c r="A584" s="13"/>
    </row>
    <row r="585" s="4" customFormat="1" ht="15.75">
      <c r="A585" s="13"/>
    </row>
    <row r="586" s="4" customFormat="1" ht="15.75">
      <c r="A586" s="13"/>
    </row>
    <row r="587" s="4" customFormat="1" ht="15.75">
      <c r="A587" s="13"/>
    </row>
    <row r="588" s="4" customFormat="1" ht="15.75">
      <c r="A588" s="13"/>
    </row>
    <row r="589" s="4" customFormat="1" ht="15.75">
      <c r="A589" s="13"/>
    </row>
    <row r="590" s="4" customFormat="1" ht="15.75">
      <c r="A590" s="13"/>
    </row>
    <row r="591" s="4" customFormat="1" ht="15.75">
      <c r="A591" s="13"/>
    </row>
    <row r="592" s="4" customFormat="1" ht="15.75">
      <c r="A592" s="13"/>
    </row>
    <row r="593" s="4" customFormat="1" ht="15.75">
      <c r="A593" s="13"/>
    </row>
    <row r="594" s="4" customFormat="1" ht="15.75">
      <c r="A594" s="13"/>
    </row>
    <row r="595" s="4" customFormat="1" ht="15.75">
      <c r="A595" s="13"/>
    </row>
    <row r="596" s="4" customFormat="1" ht="15.75">
      <c r="A596" s="13"/>
    </row>
    <row r="597" s="4" customFormat="1" ht="15.75">
      <c r="A597" s="13"/>
    </row>
    <row r="598" s="4" customFormat="1" ht="15.75">
      <c r="A598" s="13"/>
    </row>
    <row r="599" s="4" customFormat="1" ht="15.75">
      <c r="A599" s="13"/>
    </row>
    <row r="600" s="4" customFormat="1" ht="15.75">
      <c r="A600" s="13"/>
    </row>
    <row r="601" s="4" customFormat="1" ht="15.75">
      <c r="A601" s="13"/>
    </row>
    <row r="602" s="4" customFormat="1" ht="15.75">
      <c r="A602" s="13"/>
    </row>
    <row r="603" s="4" customFormat="1" ht="15.75">
      <c r="A603" s="13"/>
    </row>
    <row r="604" s="4" customFormat="1" ht="15.75">
      <c r="A604" s="13"/>
    </row>
    <row r="605" s="4" customFormat="1" ht="15.75">
      <c r="A605" s="13"/>
    </row>
    <row r="606" s="4" customFormat="1" ht="15.75">
      <c r="A606" s="13"/>
    </row>
    <row r="607" s="4" customFormat="1" ht="15.75">
      <c r="A607" s="13"/>
    </row>
    <row r="608" s="4" customFormat="1" ht="15.75">
      <c r="A608" s="13"/>
    </row>
    <row r="609" s="4" customFormat="1" ht="15.75">
      <c r="A609" s="13"/>
    </row>
    <row r="610" s="4" customFormat="1" ht="15.75">
      <c r="A610" s="13"/>
    </row>
    <row r="611" s="4" customFormat="1" ht="15.75">
      <c r="A611" s="13"/>
    </row>
    <row r="612" s="4" customFormat="1" ht="15.75">
      <c r="A612" s="13"/>
    </row>
    <row r="613" s="4" customFormat="1" ht="15.75">
      <c r="A613" s="13"/>
    </row>
    <row r="614" s="4" customFormat="1" ht="15.75">
      <c r="A614" s="13"/>
    </row>
    <row r="615" s="4" customFormat="1" ht="15.75">
      <c r="A615" s="13"/>
    </row>
    <row r="616" s="4" customFormat="1" ht="15.75">
      <c r="A616" s="13"/>
    </row>
    <row r="617" s="4" customFormat="1" ht="15.75">
      <c r="A617" s="13"/>
    </row>
    <row r="618" s="4" customFormat="1" ht="15.75">
      <c r="A618" s="13"/>
    </row>
    <row r="619" s="4" customFormat="1" ht="15.75">
      <c r="A619" s="13"/>
    </row>
    <row r="620" s="4" customFormat="1" ht="15.75">
      <c r="A620" s="13"/>
    </row>
    <row r="621" s="4" customFormat="1" ht="15.75">
      <c r="A621" s="13"/>
    </row>
    <row r="622" s="4" customFormat="1" ht="15.75">
      <c r="A622" s="13"/>
    </row>
    <row r="623" s="4" customFormat="1" ht="15.75">
      <c r="A623" s="13"/>
    </row>
    <row r="624" s="4" customFormat="1" ht="15.75">
      <c r="A624" s="13"/>
    </row>
    <row r="625" s="4" customFormat="1" ht="15.75">
      <c r="A625" s="13"/>
    </row>
    <row r="626" s="4" customFormat="1" ht="15.75">
      <c r="A626" s="13"/>
    </row>
    <row r="627" s="4" customFormat="1" ht="15.75">
      <c r="A627" s="13"/>
    </row>
    <row r="628" s="4" customFormat="1" ht="15.75">
      <c r="A628" s="13"/>
    </row>
    <row r="629" s="4" customFormat="1" ht="15.75">
      <c r="A629" s="13"/>
    </row>
    <row r="630" s="4" customFormat="1" ht="15.75">
      <c r="A630" s="13"/>
    </row>
    <row r="631" s="4" customFormat="1" ht="15.75">
      <c r="A631" s="13"/>
    </row>
    <row r="632" s="4" customFormat="1" ht="15.75">
      <c r="A632" s="13"/>
    </row>
    <row r="633" s="4" customFormat="1" ht="15.75">
      <c r="A633" s="13"/>
    </row>
    <row r="634" s="4" customFormat="1" ht="15.75">
      <c r="A634" s="13"/>
    </row>
    <row r="635" s="4" customFormat="1" ht="15.75">
      <c r="A635" s="13"/>
    </row>
    <row r="636" s="4" customFormat="1" ht="15.75">
      <c r="A636" s="13"/>
    </row>
    <row r="637" s="4" customFormat="1" ht="15.75">
      <c r="A637" s="13"/>
    </row>
    <row r="638" s="4" customFormat="1" ht="15.75">
      <c r="A638" s="13"/>
    </row>
    <row r="639" s="4" customFormat="1" ht="15.75">
      <c r="A639" s="13"/>
    </row>
    <row r="640" s="4" customFormat="1" ht="15.75">
      <c r="A640" s="13"/>
    </row>
    <row r="641" s="4" customFormat="1" ht="15.75">
      <c r="A641" s="13"/>
    </row>
    <row r="642" s="4" customFormat="1" ht="15.75">
      <c r="A642" s="13"/>
    </row>
    <row r="643" s="4" customFormat="1" ht="15.75">
      <c r="A643" s="13"/>
    </row>
    <row r="644" s="4" customFormat="1" ht="15.75">
      <c r="A644" s="13"/>
    </row>
    <row r="645" s="4" customFormat="1" ht="15.75">
      <c r="A645" s="13"/>
    </row>
    <row r="646" s="4" customFormat="1" ht="15.75">
      <c r="A646" s="13"/>
    </row>
    <row r="647" s="4" customFormat="1" ht="15.75">
      <c r="A647" s="13"/>
    </row>
    <row r="648" s="4" customFormat="1" ht="15.75">
      <c r="A648" s="13"/>
    </row>
    <row r="649" s="4" customFormat="1" ht="15.75">
      <c r="A649" s="13"/>
    </row>
    <row r="650" s="4" customFormat="1" ht="15.75">
      <c r="A650" s="13"/>
    </row>
    <row r="651" s="4" customFormat="1" ht="15.75">
      <c r="A651" s="13"/>
    </row>
    <row r="652" s="4" customFormat="1" ht="15.75">
      <c r="A652" s="13"/>
    </row>
    <row r="653" s="4" customFormat="1" ht="15.75">
      <c r="A653" s="13"/>
    </row>
    <row r="654" s="4" customFormat="1" ht="15.75">
      <c r="A654" s="13"/>
    </row>
    <row r="655" s="4" customFormat="1" ht="15.75">
      <c r="A655" s="13"/>
    </row>
    <row r="656" s="4" customFormat="1" ht="15.75">
      <c r="A656" s="13"/>
    </row>
    <row r="657" s="4" customFormat="1" ht="15.75">
      <c r="A657" s="13"/>
    </row>
    <row r="658" s="4" customFormat="1" ht="15.75">
      <c r="A658" s="13"/>
    </row>
    <row r="659" s="4" customFormat="1" ht="15.75">
      <c r="A659" s="13"/>
    </row>
    <row r="660" s="4" customFormat="1" ht="15.75">
      <c r="A660" s="13"/>
    </row>
    <row r="661" s="4" customFormat="1" ht="15.75">
      <c r="A661" s="13"/>
    </row>
    <row r="662" s="4" customFormat="1" ht="15.75">
      <c r="A662" s="13"/>
    </row>
    <row r="663" s="4" customFormat="1" ht="15.75">
      <c r="A663" s="13"/>
    </row>
    <row r="664" s="4" customFormat="1" ht="15.75">
      <c r="A664" s="13"/>
    </row>
    <row r="665" s="4" customFormat="1" ht="15.75">
      <c r="A665" s="13"/>
    </row>
    <row r="666" s="4" customFormat="1" ht="15.75">
      <c r="A666" s="13"/>
    </row>
    <row r="667" s="4" customFormat="1" ht="15.75">
      <c r="A667" s="13"/>
    </row>
    <row r="668" s="4" customFormat="1" ht="15.75">
      <c r="A668" s="13"/>
    </row>
    <row r="669" s="4" customFormat="1" ht="15.75">
      <c r="A669" s="13"/>
    </row>
    <row r="670" s="4" customFormat="1" ht="15.75">
      <c r="A670" s="13"/>
    </row>
    <row r="671" s="4" customFormat="1" ht="15.75">
      <c r="A671" s="13"/>
    </row>
    <row r="672" s="4" customFormat="1" ht="15.75">
      <c r="A672" s="13"/>
    </row>
    <row r="673" s="4" customFormat="1" ht="15.75">
      <c r="A673" s="13"/>
    </row>
    <row r="674" s="4" customFormat="1" ht="15.75">
      <c r="A674" s="13"/>
    </row>
    <row r="675" s="4" customFormat="1" ht="15.75">
      <c r="A675" s="13"/>
    </row>
    <row r="676" s="4" customFormat="1" ht="15.75">
      <c r="A676" s="13"/>
    </row>
    <row r="677" s="4" customFormat="1" ht="15.75">
      <c r="A677" s="13"/>
    </row>
    <row r="678" s="4" customFormat="1" ht="15.75">
      <c r="A678" s="13"/>
    </row>
    <row r="679" s="4" customFormat="1" ht="15.75">
      <c r="A679" s="13"/>
    </row>
    <row r="680" s="4" customFormat="1" ht="15.75">
      <c r="A680" s="13"/>
    </row>
    <row r="681" s="4" customFormat="1" ht="15.75">
      <c r="A681" s="13"/>
    </row>
    <row r="682" s="4" customFormat="1" ht="15.75">
      <c r="A682" s="13"/>
    </row>
    <row r="683" s="4" customFormat="1" ht="15.75">
      <c r="A683" s="13"/>
    </row>
    <row r="684" s="4" customFormat="1" ht="15.75">
      <c r="A684" s="13"/>
    </row>
    <row r="685" s="4" customFormat="1" ht="15.75">
      <c r="A685" s="13"/>
    </row>
    <row r="686" s="4" customFormat="1" ht="15.75">
      <c r="A686" s="13"/>
    </row>
    <row r="687" s="4" customFormat="1" ht="15.75">
      <c r="A687" s="13"/>
    </row>
    <row r="688" s="4" customFormat="1" ht="15.75">
      <c r="A688" s="13"/>
    </row>
    <row r="689" s="4" customFormat="1" ht="15.75">
      <c r="A689" s="13"/>
    </row>
    <row r="690" s="4" customFormat="1" ht="15.75">
      <c r="A690" s="13"/>
    </row>
    <row r="691" s="4" customFormat="1" ht="15.75">
      <c r="A691" s="13"/>
    </row>
    <row r="692" s="4" customFormat="1" ht="15.75">
      <c r="A692" s="13"/>
    </row>
    <row r="693" s="4" customFormat="1" ht="15.75">
      <c r="A693" s="13"/>
    </row>
    <row r="694" s="4" customFormat="1" ht="15.75">
      <c r="A694" s="13"/>
    </row>
    <row r="695" s="4" customFormat="1" ht="15.75">
      <c r="A695" s="13"/>
    </row>
    <row r="696" s="4" customFormat="1" ht="15.75">
      <c r="A696" s="13"/>
    </row>
    <row r="697" s="4" customFormat="1" ht="15.75">
      <c r="A697" s="13"/>
    </row>
    <row r="698" s="4" customFormat="1" ht="15.75">
      <c r="A698" s="13"/>
    </row>
    <row r="699" s="4" customFormat="1" ht="15.75">
      <c r="A699" s="13"/>
    </row>
    <row r="700" s="4" customFormat="1" ht="15.75">
      <c r="A700" s="13"/>
    </row>
    <row r="701" s="4" customFormat="1" ht="15.75">
      <c r="A701" s="13"/>
    </row>
    <row r="702" s="4" customFormat="1" ht="15.75">
      <c r="A702" s="13"/>
    </row>
    <row r="703" s="4" customFormat="1" ht="15.75">
      <c r="A703" s="13"/>
    </row>
    <row r="704" s="4" customFormat="1" ht="15.75">
      <c r="A704" s="13"/>
    </row>
    <row r="705" s="4" customFormat="1" ht="15.75">
      <c r="A705" s="13"/>
    </row>
    <row r="706" s="4" customFormat="1" ht="15.75">
      <c r="A706" s="13"/>
    </row>
    <row r="707" s="4" customFormat="1" ht="15.75">
      <c r="A707" s="13"/>
    </row>
    <row r="708" s="4" customFormat="1" ht="15.75">
      <c r="A708" s="13"/>
    </row>
    <row r="709" s="4" customFormat="1" ht="15.75">
      <c r="A709" s="13"/>
    </row>
    <row r="710" s="4" customFormat="1" ht="15.75">
      <c r="A710" s="13"/>
    </row>
    <row r="711" s="4" customFormat="1" ht="15.75">
      <c r="A711" s="13"/>
    </row>
    <row r="712" s="4" customFormat="1" ht="15.75">
      <c r="A712" s="13"/>
    </row>
    <row r="713" s="4" customFormat="1" ht="15.75">
      <c r="A713" s="13"/>
    </row>
    <row r="714" s="4" customFormat="1" ht="15.75">
      <c r="A714" s="13"/>
    </row>
    <row r="715" s="4" customFormat="1" ht="15.75">
      <c r="A715" s="13"/>
    </row>
    <row r="716" s="4" customFormat="1" ht="15.75">
      <c r="A716" s="13"/>
    </row>
    <row r="717" s="4" customFormat="1" ht="15.75">
      <c r="A717" s="13"/>
    </row>
    <row r="718" s="4" customFormat="1" ht="15.75">
      <c r="A718" s="13"/>
    </row>
    <row r="719" s="4" customFormat="1" ht="15.75">
      <c r="A719" s="13"/>
    </row>
    <row r="720" s="4" customFormat="1" ht="15.75">
      <c r="A720" s="13"/>
    </row>
    <row r="721" s="4" customFormat="1" ht="15.75">
      <c r="A721" s="13"/>
    </row>
    <row r="722" s="4" customFormat="1" ht="15.75">
      <c r="A722" s="13"/>
    </row>
    <row r="723" s="4" customFormat="1" ht="15.75">
      <c r="A723" s="13"/>
    </row>
    <row r="724" s="4" customFormat="1" ht="15.75">
      <c r="A724" s="13"/>
    </row>
    <row r="725" s="4" customFormat="1" ht="15.75">
      <c r="A725" s="13"/>
    </row>
    <row r="726" s="4" customFormat="1" ht="15.75">
      <c r="A726" s="13"/>
    </row>
    <row r="727" s="4" customFormat="1" ht="15.75">
      <c r="A727" s="13"/>
    </row>
    <row r="728" s="4" customFormat="1" ht="15.75">
      <c r="A728" s="13"/>
    </row>
    <row r="729" s="4" customFormat="1" ht="15.75">
      <c r="A729" s="13"/>
    </row>
    <row r="730" s="4" customFormat="1" ht="15.75">
      <c r="A730" s="13"/>
    </row>
    <row r="731" s="4" customFormat="1" ht="15.75">
      <c r="A731" s="13"/>
    </row>
    <row r="732" s="4" customFormat="1" ht="15.75">
      <c r="A732" s="13"/>
    </row>
    <row r="733" s="4" customFormat="1" ht="15.75">
      <c r="A733" s="13"/>
    </row>
    <row r="734" s="4" customFormat="1" ht="15.75">
      <c r="A734" s="13"/>
    </row>
    <row r="735" s="4" customFormat="1" ht="15.75">
      <c r="A735" s="13"/>
    </row>
    <row r="736" s="4" customFormat="1" ht="15.75">
      <c r="A736" s="13"/>
    </row>
    <row r="737" s="4" customFormat="1" ht="15.75">
      <c r="A737" s="13"/>
    </row>
    <row r="738" s="4" customFormat="1" ht="15.75">
      <c r="A738" s="13"/>
    </row>
    <row r="739" s="4" customFormat="1" ht="15.75">
      <c r="A739" s="13"/>
    </row>
    <row r="740" s="4" customFormat="1" ht="15.75">
      <c r="A740" s="13"/>
    </row>
    <row r="741" s="4" customFormat="1" ht="15.75">
      <c r="A741" s="13"/>
    </row>
    <row r="742" s="4" customFormat="1" ht="15.75">
      <c r="A742" s="13"/>
    </row>
    <row r="743" s="4" customFormat="1" ht="15.75">
      <c r="A743" s="13"/>
    </row>
    <row r="744" s="4" customFormat="1" ht="15.75">
      <c r="A744" s="13"/>
    </row>
    <row r="745" s="4" customFormat="1" ht="15.75">
      <c r="A745" s="13"/>
    </row>
    <row r="746" s="4" customFormat="1" ht="15.75">
      <c r="A746" s="13"/>
    </row>
    <row r="747" s="4" customFormat="1" ht="15.75">
      <c r="A747" s="13"/>
    </row>
    <row r="748" s="4" customFormat="1" ht="15.75">
      <c r="A748" s="13"/>
    </row>
    <row r="749" s="4" customFormat="1" ht="15.75">
      <c r="A749" s="13"/>
    </row>
    <row r="750" s="4" customFormat="1" ht="15.75">
      <c r="A750" s="13"/>
    </row>
    <row r="751" s="4" customFormat="1" ht="15.75">
      <c r="A751" s="13"/>
    </row>
    <row r="752" s="4" customFormat="1" ht="15.75">
      <c r="A752" s="13"/>
    </row>
    <row r="753" s="4" customFormat="1" ht="15.75">
      <c r="A753" s="13"/>
    </row>
    <row r="754" s="4" customFormat="1" ht="15.75">
      <c r="A754" s="13"/>
    </row>
    <row r="755" s="4" customFormat="1" ht="15.75">
      <c r="A755" s="13"/>
    </row>
    <row r="756" s="4" customFormat="1" ht="15.75">
      <c r="A756" s="13"/>
    </row>
    <row r="757" s="4" customFormat="1" ht="15.75">
      <c r="A757" s="13"/>
    </row>
    <row r="758" s="4" customFormat="1" ht="15.75">
      <c r="A758" s="13"/>
    </row>
    <row r="759" s="4" customFormat="1" ht="15.75">
      <c r="A759" s="13"/>
    </row>
    <row r="760" s="4" customFormat="1" ht="15.75">
      <c r="A760" s="13"/>
    </row>
    <row r="761" s="4" customFormat="1" ht="15.75">
      <c r="A761" s="13"/>
    </row>
    <row r="762" s="4" customFormat="1" ht="15.75">
      <c r="A762" s="13"/>
    </row>
    <row r="763" s="4" customFormat="1" ht="15.75">
      <c r="A763" s="13"/>
    </row>
    <row r="764" s="4" customFormat="1" ht="15.75">
      <c r="A764" s="13"/>
    </row>
    <row r="765" s="4" customFormat="1" ht="15.75">
      <c r="A765" s="13"/>
    </row>
    <row r="766" s="4" customFormat="1" ht="15.75">
      <c r="A766" s="13"/>
    </row>
    <row r="767" s="4" customFormat="1" ht="15.75">
      <c r="A767" s="13"/>
    </row>
    <row r="768" s="4" customFormat="1" ht="15.75">
      <c r="A768" s="13"/>
    </row>
    <row r="769" s="4" customFormat="1" ht="15.75">
      <c r="A769" s="13"/>
    </row>
    <row r="770" s="4" customFormat="1" ht="15.75">
      <c r="A770" s="13"/>
    </row>
    <row r="771" s="4" customFormat="1" ht="15.75">
      <c r="A771" s="13"/>
    </row>
    <row r="772" s="4" customFormat="1" ht="15.75">
      <c r="A772" s="13"/>
    </row>
    <row r="773" s="4" customFormat="1" ht="15.75">
      <c r="A773" s="13"/>
    </row>
    <row r="774" s="4" customFormat="1" ht="15.75">
      <c r="A774" s="13"/>
    </row>
    <row r="775" s="4" customFormat="1" ht="15.75">
      <c r="A775" s="13"/>
    </row>
    <row r="776" s="4" customFormat="1" ht="15.75">
      <c r="A776" s="13"/>
    </row>
    <row r="777" s="4" customFormat="1" ht="15.75">
      <c r="A777" s="13"/>
    </row>
    <row r="778" s="4" customFormat="1" ht="15.75">
      <c r="A778" s="13"/>
    </row>
    <row r="779" s="4" customFormat="1" ht="15.75">
      <c r="A779" s="13"/>
    </row>
    <row r="780" s="4" customFormat="1" ht="15.75">
      <c r="A780" s="13"/>
    </row>
    <row r="781" s="4" customFormat="1" ht="15.75">
      <c r="A781" s="13"/>
    </row>
    <row r="782" s="4" customFormat="1" ht="15.75">
      <c r="A782" s="13"/>
    </row>
    <row r="783" s="4" customFormat="1" ht="15.75">
      <c r="A783" s="13"/>
    </row>
    <row r="784" s="4" customFormat="1" ht="15.75">
      <c r="A784" s="13"/>
    </row>
    <row r="785" s="4" customFormat="1" ht="15.75">
      <c r="A785" s="13"/>
    </row>
    <row r="786" s="4" customFormat="1" ht="15.75">
      <c r="A786" s="13"/>
    </row>
    <row r="787" s="4" customFormat="1" ht="15.75">
      <c r="A787" s="13"/>
    </row>
    <row r="788" s="4" customFormat="1" ht="15.75">
      <c r="A788" s="13"/>
    </row>
    <row r="789" s="4" customFormat="1" ht="15.75">
      <c r="A789" s="13"/>
    </row>
    <row r="790" s="4" customFormat="1" ht="15.75">
      <c r="A790" s="13"/>
    </row>
    <row r="791" s="4" customFormat="1" ht="15.75">
      <c r="A791" s="13"/>
    </row>
    <row r="792" s="4" customFormat="1" ht="15.75">
      <c r="A792" s="13"/>
    </row>
    <row r="793" s="4" customFormat="1" ht="15.75">
      <c r="A793" s="13"/>
    </row>
    <row r="794" s="4" customFormat="1" ht="15.75">
      <c r="A794" s="13"/>
    </row>
    <row r="795" s="4" customFormat="1" ht="15.75">
      <c r="A795" s="13"/>
    </row>
    <row r="796" s="4" customFormat="1" ht="15.75">
      <c r="A796" s="13"/>
    </row>
    <row r="797" s="4" customFormat="1" ht="15.75">
      <c r="A797" s="13"/>
    </row>
    <row r="798" s="4" customFormat="1" ht="15.75">
      <c r="A798" s="13"/>
    </row>
    <row r="799" s="4" customFormat="1" ht="15.75">
      <c r="A799" s="13"/>
    </row>
    <row r="800" s="4" customFormat="1" ht="15.75">
      <c r="A800" s="13"/>
    </row>
    <row r="801" s="4" customFormat="1" ht="15.75">
      <c r="A801" s="13"/>
    </row>
    <row r="802" s="4" customFormat="1" ht="15.75">
      <c r="A802" s="13"/>
    </row>
    <row r="803" s="4" customFormat="1" ht="15.75">
      <c r="A803" s="13"/>
    </row>
    <row r="804" s="4" customFormat="1" ht="15.75">
      <c r="A804" s="13"/>
    </row>
    <row r="805" s="4" customFormat="1" ht="15.75">
      <c r="A805" s="13"/>
    </row>
    <row r="806" s="4" customFormat="1" ht="15.75">
      <c r="A806" s="13"/>
    </row>
    <row r="807" s="4" customFormat="1" ht="15.75">
      <c r="A807" s="13"/>
    </row>
    <row r="808" s="4" customFormat="1" ht="15.75">
      <c r="A808" s="13"/>
    </row>
    <row r="809" s="4" customFormat="1" ht="15.75">
      <c r="A809" s="13"/>
    </row>
    <row r="810" s="4" customFormat="1" ht="15.75">
      <c r="A810" s="13"/>
    </row>
    <row r="811" s="4" customFormat="1" ht="15.75">
      <c r="A811" s="13"/>
    </row>
    <row r="812" s="4" customFormat="1" ht="15.75">
      <c r="A812" s="13"/>
    </row>
    <row r="813" s="4" customFormat="1" ht="15.75">
      <c r="A813" s="13"/>
    </row>
    <row r="814" s="4" customFormat="1" ht="15.75">
      <c r="A814" s="13"/>
    </row>
    <row r="815" s="4" customFormat="1" ht="15.75">
      <c r="A815" s="13"/>
    </row>
    <row r="816" s="4" customFormat="1" ht="15.75">
      <c r="A816" s="13"/>
    </row>
    <row r="817" s="4" customFormat="1" ht="15.75">
      <c r="A817" s="13"/>
    </row>
    <row r="818" s="4" customFormat="1" ht="15.75">
      <c r="A818" s="13"/>
    </row>
    <row r="819" s="4" customFormat="1" ht="15.75">
      <c r="A819" s="13"/>
    </row>
    <row r="820" s="4" customFormat="1" ht="15.75">
      <c r="A820" s="13"/>
    </row>
    <row r="821" s="4" customFormat="1" ht="15.75">
      <c r="A821" s="13"/>
    </row>
    <row r="822" s="4" customFormat="1" ht="15.75">
      <c r="A822" s="13"/>
    </row>
    <row r="823" s="4" customFormat="1" ht="15.75">
      <c r="A823" s="13"/>
    </row>
    <row r="824" s="4" customFormat="1" ht="15.75">
      <c r="A824" s="13"/>
    </row>
    <row r="825" s="4" customFormat="1" ht="15.75">
      <c r="A825" s="13"/>
    </row>
    <row r="826" s="4" customFormat="1" ht="15.75">
      <c r="A826" s="13"/>
    </row>
    <row r="827" s="4" customFormat="1" ht="15.75">
      <c r="A827" s="13"/>
    </row>
    <row r="828" s="4" customFormat="1" ht="15.75">
      <c r="A828" s="13"/>
    </row>
    <row r="829" s="4" customFormat="1" ht="15.75">
      <c r="A829" s="13"/>
    </row>
    <row r="830" s="4" customFormat="1" ht="15.75">
      <c r="A830" s="13"/>
    </row>
    <row r="831" s="4" customFormat="1" ht="15.75">
      <c r="A831" s="13"/>
    </row>
    <row r="832" s="4" customFormat="1" ht="15.75">
      <c r="A832" s="13"/>
    </row>
    <row r="833" s="4" customFormat="1" ht="15.75">
      <c r="A833" s="13"/>
    </row>
    <row r="834" s="4" customFormat="1" ht="15.75">
      <c r="A834" s="13"/>
    </row>
    <row r="835" s="4" customFormat="1" ht="15.75">
      <c r="A835" s="13"/>
    </row>
    <row r="836" s="4" customFormat="1" ht="15.75">
      <c r="A836" s="13"/>
    </row>
    <row r="837" s="4" customFormat="1" ht="15.75">
      <c r="A837" s="13"/>
    </row>
    <row r="838" s="4" customFormat="1" ht="15.75">
      <c r="A838" s="13"/>
    </row>
    <row r="839" s="4" customFormat="1" ht="15.75">
      <c r="A839" s="13"/>
    </row>
    <row r="840" s="4" customFormat="1" ht="15.75">
      <c r="A840" s="13"/>
    </row>
    <row r="841" s="4" customFormat="1" ht="15.75">
      <c r="A841" s="13"/>
    </row>
    <row r="842" s="4" customFormat="1" ht="15.75">
      <c r="A842" s="13"/>
    </row>
    <row r="843" s="4" customFormat="1" ht="15.75">
      <c r="A843" s="13"/>
    </row>
    <row r="844" s="4" customFormat="1" ht="15.75">
      <c r="A844" s="13"/>
    </row>
    <row r="845" s="4" customFormat="1" ht="15.75">
      <c r="A845" s="13"/>
    </row>
    <row r="846" s="4" customFormat="1" ht="15.75">
      <c r="A846" s="13"/>
    </row>
    <row r="847" s="4" customFormat="1" ht="15.75">
      <c r="A847" s="13"/>
    </row>
    <row r="848" s="4" customFormat="1" ht="15.75">
      <c r="A848" s="13"/>
    </row>
    <row r="849" s="4" customFormat="1" ht="15.75">
      <c r="A849" s="13"/>
    </row>
    <row r="850" s="4" customFormat="1" ht="15.75">
      <c r="A850" s="13"/>
    </row>
    <row r="851" s="4" customFormat="1" ht="15.75">
      <c r="A851" s="13"/>
    </row>
    <row r="852" s="4" customFormat="1" ht="15.75">
      <c r="A852" s="13"/>
    </row>
    <row r="853" s="4" customFormat="1" ht="15.75">
      <c r="A853" s="13"/>
    </row>
    <row r="854" s="4" customFormat="1" ht="15.75">
      <c r="A854" s="13"/>
    </row>
    <row r="855" s="4" customFormat="1" ht="15.75">
      <c r="A855" s="13"/>
    </row>
    <row r="856" s="4" customFormat="1" ht="15.75">
      <c r="A856" s="13"/>
    </row>
    <row r="857" s="4" customFormat="1" ht="15.75">
      <c r="A857" s="13"/>
    </row>
    <row r="858" s="4" customFormat="1" ht="15.75">
      <c r="A858" s="13"/>
    </row>
    <row r="859" s="4" customFormat="1" ht="15.75">
      <c r="A859" s="13"/>
    </row>
    <row r="860" s="4" customFormat="1" ht="15.75">
      <c r="A860" s="13"/>
    </row>
    <row r="861" s="4" customFormat="1" ht="15.75">
      <c r="A861" s="13"/>
    </row>
    <row r="862" s="4" customFormat="1" ht="15.75">
      <c r="A862" s="13"/>
    </row>
    <row r="863" s="4" customFormat="1" ht="15.75">
      <c r="A863" s="13"/>
    </row>
    <row r="864" s="4" customFormat="1" ht="15.75">
      <c r="A864" s="13"/>
    </row>
    <row r="865" s="4" customFormat="1" ht="15.75">
      <c r="A865" s="13"/>
    </row>
    <row r="866" s="4" customFormat="1" ht="15.75">
      <c r="A866" s="13"/>
    </row>
    <row r="867" s="4" customFormat="1" ht="15.75">
      <c r="A867" s="13"/>
    </row>
    <row r="868" s="4" customFormat="1" ht="15.75">
      <c r="A868" s="13"/>
    </row>
    <row r="869" s="4" customFormat="1" ht="15.75">
      <c r="A869" s="13"/>
    </row>
    <row r="870" s="4" customFormat="1" ht="15.75">
      <c r="A870" s="13"/>
    </row>
    <row r="871" s="4" customFormat="1" ht="15.75">
      <c r="A871" s="13"/>
    </row>
    <row r="872" s="4" customFormat="1" ht="15.75">
      <c r="A872" s="13"/>
    </row>
    <row r="873" s="4" customFormat="1" ht="15.75">
      <c r="A873" s="13"/>
    </row>
    <row r="874" s="4" customFormat="1" ht="15.75">
      <c r="A874" s="13"/>
    </row>
    <row r="875" s="4" customFormat="1" ht="15.75">
      <c r="A875" s="13"/>
    </row>
    <row r="876" s="4" customFormat="1" ht="15.75">
      <c r="A876" s="13"/>
    </row>
    <row r="877" s="4" customFormat="1" ht="15.75">
      <c r="A877" s="13"/>
    </row>
    <row r="878" s="4" customFormat="1" ht="15.75">
      <c r="A878" s="13"/>
    </row>
    <row r="879" s="4" customFormat="1" ht="15.75">
      <c r="A879" s="13"/>
    </row>
    <row r="880" s="4" customFormat="1" ht="15.75">
      <c r="A880" s="13"/>
    </row>
    <row r="881" s="4" customFormat="1" ht="15.75">
      <c r="A881" s="13"/>
    </row>
    <row r="882" s="4" customFormat="1" ht="15.75">
      <c r="A882" s="13"/>
    </row>
    <row r="883" s="4" customFormat="1" ht="15.75">
      <c r="A883" s="13"/>
    </row>
    <row r="884" s="4" customFormat="1" ht="15.75">
      <c r="A884" s="13"/>
    </row>
    <row r="885" s="4" customFormat="1" ht="15.75">
      <c r="A885" s="13"/>
    </row>
    <row r="886" s="4" customFormat="1" ht="15.75">
      <c r="A886" s="13"/>
    </row>
    <row r="887" s="4" customFormat="1" ht="15.75">
      <c r="A887" s="13"/>
    </row>
    <row r="888" s="4" customFormat="1" ht="15.75">
      <c r="A888" s="13"/>
    </row>
    <row r="889" s="4" customFormat="1" ht="15.75">
      <c r="A889" s="13"/>
    </row>
    <row r="890" s="4" customFormat="1" ht="15.75">
      <c r="A890" s="13"/>
    </row>
    <row r="891" s="4" customFormat="1" ht="15.75">
      <c r="A891" s="13"/>
    </row>
    <row r="892" s="4" customFormat="1" ht="15.75">
      <c r="A892" s="13"/>
    </row>
    <row r="893" s="4" customFormat="1" ht="15.75">
      <c r="A893" s="13"/>
    </row>
    <row r="894" s="4" customFormat="1" ht="15.75">
      <c r="A894" s="13"/>
    </row>
    <row r="895" s="4" customFormat="1" ht="15.75">
      <c r="A895" s="13"/>
    </row>
    <row r="896" s="4" customFormat="1" ht="15.75">
      <c r="A896" s="13"/>
    </row>
    <row r="897" s="4" customFormat="1" ht="15.75">
      <c r="A897" s="13"/>
    </row>
    <row r="898" s="4" customFormat="1" ht="15.75">
      <c r="A898" s="13"/>
    </row>
    <row r="899" s="4" customFormat="1" ht="15.75">
      <c r="A899" s="13"/>
    </row>
    <row r="900" s="4" customFormat="1" ht="15.75">
      <c r="A900" s="13"/>
    </row>
    <row r="901" s="4" customFormat="1" ht="15.75">
      <c r="A901" s="13"/>
    </row>
    <row r="902" s="4" customFormat="1" ht="15.75">
      <c r="A902" s="13"/>
    </row>
    <row r="903" s="4" customFormat="1" ht="15.75">
      <c r="A903" s="13"/>
    </row>
    <row r="904" s="4" customFormat="1" ht="15.75">
      <c r="A904" s="13"/>
    </row>
    <row r="905" s="4" customFormat="1" ht="15.75">
      <c r="A905" s="13"/>
    </row>
    <row r="906" s="4" customFormat="1" ht="15.75">
      <c r="A906" s="13"/>
    </row>
    <row r="907" s="4" customFormat="1" ht="15.75">
      <c r="A907" s="13"/>
    </row>
    <row r="908" s="4" customFormat="1" ht="15.75">
      <c r="A908" s="13"/>
    </row>
    <row r="909" s="4" customFormat="1" ht="15.75">
      <c r="A909" s="13"/>
    </row>
    <row r="910" s="4" customFormat="1" ht="15.75">
      <c r="A910" s="13"/>
    </row>
    <row r="911" s="4" customFormat="1" ht="15.75">
      <c r="A911" s="13"/>
    </row>
    <row r="912" s="4" customFormat="1" ht="15.75">
      <c r="A912" s="13"/>
    </row>
    <row r="913" s="4" customFormat="1" ht="15.75">
      <c r="A913" s="13"/>
    </row>
    <row r="914" s="4" customFormat="1" ht="15.75">
      <c r="A914" s="13"/>
    </row>
    <row r="915" s="4" customFormat="1" ht="15.75">
      <c r="A915" s="13"/>
    </row>
    <row r="916" s="4" customFormat="1" ht="15.75">
      <c r="A916" s="13"/>
    </row>
    <row r="917" s="4" customFormat="1" ht="15.75">
      <c r="A917" s="13"/>
    </row>
    <row r="918" s="4" customFormat="1" ht="15.75">
      <c r="A918" s="13"/>
    </row>
    <row r="919" s="4" customFormat="1" ht="15.75">
      <c r="A919" s="13"/>
    </row>
    <row r="920" s="4" customFormat="1" ht="15.75">
      <c r="A920" s="13"/>
    </row>
    <row r="921" s="4" customFormat="1" ht="15.75">
      <c r="A921" s="13"/>
    </row>
    <row r="922" ht="15.75">
      <c r="I922" s="4"/>
    </row>
    <row r="923" ht="15.75">
      <c r="I923" s="4"/>
    </row>
  </sheetData>
  <mergeCells count="3">
    <mergeCell ref="A6:O6"/>
    <mergeCell ref="A7:O7"/>
    <mergeCell ref="G146:I146"/>
  </mergeCells>
  <printOptions/>
  <pageMargins left="0.9" right="0.26" top="0.38" bottom="0" header="0.38" footer="0"/>
  <pageSetup horizontalDpi="300" verticalDpi="300" orientation="portrait" paperSize="5" scale="83" r:id="rId2"/>
  <rowBreaks count="1" manualBreakCount="1">
    <brk id="60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260"/>
  <sheetViews>
    <sheetView workbookViewId="0" topLeftCell="A27">
      <selection activeCell="M11" sqref="M11"/>
    </sheetView>
  </sheetViews>
  <sheetFormatPr defaultColWidth="8.88671875" defaultRowHeight="15.75"/>
  <cols>
    <col min="1" max="1" width="3.6640625" style="0" customWidth="1"/>
    <col min="2" max="2" width="0.671875" style="0" customWidth="1"/>
    <col min="3" max="3" width="22.77734375" style="0" bestFit="1" customWidth="1"/>
    <col min="4" max="4" width="0.78125" style="0" customWidth="1"/>
    <col min="5" max="5" width="8.99609375" style="0" bestFit="1" customWidth="1"/>
    <col min="6" max="6" width="0.55078125" style="0" customWidth="1"/>
    <col min="7" max="7" width="8.99609375" style="0" bestFit="1" customWidth="1"/>
    <col min="8" max="8" width="0.78125" style="0" customWidth="1"/>
    <col min="9" max="9" width="10.21484375" style="0" bestFit="1" customWidth="1"/>
    <col min="10" max="10" width="0.44140625" style="0" customWidth="1"/>
    <col min="11" max="11" width="8.99609375" style="0" bestFit="1" customWidth="1"/>
    <col min="12" max="12" width="0.44140625" style="0" customWidth="1"/>
  </cols>
  <sheetData>
    <row r="1" ht="15.75">
      <c r="C1" s="85" t="s">
        <v>56</v>
      </c>
    </row>
    <row r="2" ht="15.75">
      <c r="C2" s="85"/>
    </row>
    <row r="3" ht="15.75">
      <c r="C3" s="88" t="s">
        <v>75</v>
      </c>
    </row>
    <row r="4" ht="15.75">
      <c r="I4" s="98" t="s">
        <v>81</v>
      </c>
    </row>
    <row r="5" spans="5:9" ht="15.75">
      <c r="E5" s="85" t="s">
        <v>76</v>
      </c>
      <c r="F5" s="85"/>
      <c r="G5" s="85" t="s">
        <v>76</v>
      </c>
      <c r="H5" s="85"/>
      <c r="I5" s="85" t="s">
        <v>77</v>
      </c>
    </row>
    <row r="6" spans="5:11" ht="15.75">
      <c r="E6" s="91" t="s">
        <v>61</v>
      </c>
      <c r="F6" s="91"/>
      <c r="G6" s="91" t="s">
        <v>74</v>
      </c>
      <c r="H6" s="91"/>
      <c r="I6" s="91" t="s">
        <v>74</v>
      </c>
      <c r="J6" s="91"/>
      <c r="K6" s="91"/>
    </row>
    <row r="7" spans="5:11" ht="15.75">
      <c r="E7" s="91" t="s">
        <v>41</v>
      </c>
      <c r="F7" s="91"/>
      <c r="G7" s="91" t="s">
        <v>83</v>
      </c>
      <c r="H7" s="91"/>
      <c r="I7" s="91" t="s">
        <v>84</v>
      </c>
      <c r="J7" s="91"/>
      <c r="K7" s="91"/>
    </row>
    <row r="9" spans="3:12" ht="15.75">
      <c r="C9" t="s">
        <v>62</v>
      </c>
      <c r="E9" s="84">
        <f>(2643813790)/10000000</f>
        <v>264.381379</v>
      </c>
      <c r="F9" s="84"/>
      <c r="G9" s="84">
        <f>(1321919590-13800000)/10000000</f>
        <v>130.811959</v>
      </c>
      <c r="H9" s="84"/>
      <c r="I9" s="84">
        <f>123.16</f>
        <v>123.16</v>
      </c>
      <c r="J9" s="84"/>
      <c r="K9" s="84"/>
      <c r="L9" s="39"/>
    </row>
    <row r="10" spans="3:12" ht="15.75">
      <c r="C10" t="s">
        <v>63</v>
      </c>
      <c r="E10" s="84">
        <f>(208518792)/10000000</f>
        <v>20.8518792</v>
      </c>
      <c r="F10" s="84"/>
      <c r="G10" s="84">
        <f>109351215/10000000</f>
        <v>10.9351215</v>
      </c>
      <c r="H10" s="84"/>
      <c r="I10" s="84">
        <v>26.43</v>
      </c>
      <c r="J10" s="84"/>
      <c r="K10" s="84"/>
      <c r="L10" s="39"/>
    </row>
    <row r="11" spans="3:12" ht="15.75">
      <c r="C11" s="93" t="s">
        <v>78</v>
      </c>
      <c r="E11" s="95">
        <f>SUM(E9:E10)</f>
        <v>285.23325819999997</v>
      </c>
      <c r="F11" s="84">
        <v>0</v>
      </c>
      <c r="G11" s="95">
        <f>SUM(G9:G10)</f>
        <v>141.7470805</v>
      </c>
      <c r="H11" s="84"/>
      <c r="I11" s="95">
        <f>SUM(I9:I10)</f>
        <v>149.59</v>
      </c>
      <c r="J11" s="84"/>
      <c r="K11" s="84"/>
      <c r="L11" s="39"/>
    </row>
    <row r="12" spans="5:12" ht="15.75">
      <c r="E12" s="84"/>
      <c r="F12" s="84"/>
      <c r="G12" s="84"/>
      <c r="H12" s="84"/>
      <c r="I12" s="84"/>
      <c r="J12" s="84"/>
      <c r="K12" s="84"/>
      <c r="L12" s="39"/>
    </row>
    <row r="13" spans="3:12" ht="15.75">
      <c r="C13" t="s">
        <v>64</v>
      </c>
      <c r="E13" s="84"/>
      <c r="F13" s="84"/>
      <c r="G13" s="84"/>
      <c r="H13" s="84"/>
      <c r="I13" s="84"/>
      <c r="J13" s="84"/>
      <c r="K13" s="84"/>
      <c r="L13" s="39"/>
    </row>
    <row r="14" spans="3:12" ht="15.75">
      <c r="C14" t="s">
        <v>65</v>
      </c>
      <c r="E14" s="96">
        <f>83691997/10000000</f>
        <v>8.3691997</v>
      </c>
      <c r="F14" s="84"/>
      <c r="G14" s="96">
        <v>0</v>
      </c>
      <c r="H14" s="84"/>
      <c r="I14" s="96">
        <v>0</v>
      </c>
      <c r="J14" s="84"/>
      <c r="K14" s="84"/>
      <c r="L14" s="39"/>
    </row>
    <row r="15" spans="3:12" ht="15.75">
      <c r="C15" s="93" t="s">
        <v>79</v>
      </c>
      <c r="E15" s="95">
        <f>+E14</f>
        <v>8.3691997</v>
      </c>
      <c r="F15" s="84"/>
      <c r="G15" s="95">
        <f>+G14</f>
        <v>0</v>
      </c>
      <c r="H15" s="84"/>
      <c r="I15" s="95">
        <f>+I14</f>
        <v>0</v>
      </c>
      <c r="J15" s="84"/>
      <c r="K15" s="84"/>
      <c r="L15" s="39"/>
    </row>
    <row r="16" spans="3:12" ht="15.75">
      <c r="C16" s="85" t="s">
        <v>82</v>
      </c>
      <c r="E16" s="84"/>
      <c r="F16" s="84"/>
      <c r="G16" s="84"/>
      <c r="H16" s="84"/>
      <c r="I16" s="84"/>
      <c r="J16" s="84"/>
      <c r="K16" s="84"/>
      <c r="L16" s="39"/>
    </row>
    <row r="17" spans="3:12" ht="15.75">
      <c r="C17" t="s">
        <v>66</v>
      </c>
      <c r="E17" s="84"/>
      <c r="F17" s="84"/>
      <c r="G17" s="84"/>
      <c r="H17" s="84"/>
      <c r="I17" s="84"/>
      <c r="J17" s="84"/>
      <c r="K17" s="84"/>
      <c r="L17" s="39"/>
    </row>
    <row r="18" spans="3:12" ht="15.75">
      <c r="C18" t="s">
        <v>67</v>
      </c>
      <c r="E18" s="84">
        <f>12829325/10000000</f>
        <v>1.2829325</v>
      </c>
      <c r="F18" s="84"/>
      <c r="G18" s="84">
        <v>0</v>
      </c>
      <c r="H18" s="84"/>
      <c r="I18" s="84">
        <v>0</v>
      </c>
      <c r="J18" s="84"/>
      <c r="K18" s="84"/>
      <c r="L18" s="39"/>
    </row>
    <row r="19" spans="3:12" ht="15.75">
      <c r="C19" t="s">
        <v>68</v>
      </c>
      <c r="E19" s="84">
        <f>159153816/10000000</f>
        <v>15.9153816</v>
      </c>
      <c r="F19" s="84"/>
      <c r="G19" s="84">
        <f>40691531/10000000</f>
        <v>4.0691531</v>
      </c>
      <c r="H19" s="84"/>
      <c r="I19" s="84">
        <v>2.14</v>
      </c>
      <c r="J19" s="84"/>
      <c r="K19" s="84"/>
      <c r="L19" s="39"/>
    </row>
    <row r="20" spans="3:12" ht="15.75">
      <c r="C20" t="s">
        <v>69</v>
      </c>
      <c r="E20" s="84">
        <f>8001382/10000000</f>
        <v>0.8001382</v>
      </c>
      <c r="F20" s="84"/>
      <c r="G20" s="84">
        <f>7245693/10000000</f>
        <v>0.7245693</v>
      </c>
      <c r="H20" s="84"/>
      <c r="I20" s="84">
        <v>0.45</v>
      </c>
      <c r="J20" s="84"/>
      <c r="K20" s="84"/>
      <c r="L20" s="39"/>
    </row>
    <row r="21" spans="3:12" ht="15.75">
      <c r="C21" t="s">
        <v>70</v>
      </c>
      <c r="E21" s="84">
        <f>104395521/10000000</f>
        <v>10.4395521</v>
      </c>
      <c r="F21" s="84"/>
      <c r="G21" s="84">
        <f>31740473/10000000</f>
        <v>3.1740473</v>
      </c>
      <c r="H21" s="84"/>
      <c r="I21" s="84">
        <f>5.59-2.14-0.45-0.05-0.01</f>
        <v>2.94</v>
      </c>
      <c r="J21" s="84"/>
      <c r="K21" s="84"/>
      <c r="L21" s="39"/>
    </row>
    <row r="22" spans="3:12" ht="15.75">
      <c r="C22" t="s">
        <v>71</v>
      </c>
      <c r="E22" s="84">
        <f>3063786/10000000</f>
        <v>0.3063786</v>
      </c>
      <c r="F22" s="84"/>
      <c r="G22" s="84">
        <f>2788651/10000000</f>
        <v>0.2788651</v>
      </c>
      <c r="H22" s="84"/>
      <c r="I22" s="84">
        <v>0.05</v>
      </c>
      <c r="J22" s="84"/>
      <c r="K22" s="84"/>
      <c r="L22" s="39"/>
    </row>
    <row r="23" spans="3:12" ht="15.75">
      <c r="C23" t="s">
        <v>72</v>
      </c>
      <c r="E23" s="84">
        <f>1294498/10000000</f>
        <v>0.1294498</v>
      </c>
      <c r="F23" s="84"/>
      <c r="G23" s="84">
        <f>411883/10000000</f>
        <v>0.0411883</v>
      </c>
      <c r="H23" s="84"/>
      <c r="I23" s="84">
        <v>0.01</v>
      </c>
      <c r="J23" s="84"/>
      <c r="K23" s="84"/>
      <c r="L23" s="39"/>
    </row>
    <row r="24" spans="3:12" ht="15.75">
      <c r="C24" s="93" t="s">
        <v>80</v>
      </c>
      <c r="E24" s="95">
        <f>SUM(E18:E23)+0.01</f>
        <v>28.8838328</v>
      </c>
      <c r="F24" s="84"/>
      <c r="G24" s="95">
        <f>SUM(G18:G23)-0.01</f>
        <v>8.277823099999999</v>
      </c>
      <c r="H24" s="84"/>
      <c r="I24" s="95">
        <f>SUM(I18:I23)</f>
        <v>5.59</v>
      </c>
      <c r="J24" s="84"/>
      <c r="K24" s="84"/>
      <c r="L24" s="39"/>
    </row>
    <row r="25" spans="5:12" ht="16.5" thickBot="1">
      <c r="E25" s="84"/>
      <c r="F25" s="84"/>
      <c r="G25" s="84"/>
      <c r="H25" s="84"/>
      <c r="I25" s="84"/>
      <c r="J25" s="84"/>
      <c r="K25" s="84"/>
      <c r="L25" s="39"/>
    </row>
    <row r="26" spans="3:12" ht="16.5" thickBot="1">
      <c r="C26" s="94" t="s">
        <v>73</v>
      </c>
      <c r="E26" s="89">
        <f>+E11+E15+E24-0.01</f>
        <v>322.4762907</v>
      </c>
      <c r="F26" s="84"/>
      <c r="G26" s="89">
        <f>+G11+G15+G24-0.01</f>
        <v>150.01490360000003</v>
      </c>
      <c r="H26" s="84"/>
      <c r="I26" s="89">
        <f>+I11+I15+I24</f>
        <v>155.18</v>
      </c>
      <c r="J26" s="84"/>
      <c r="K26" s="84"/>
      <c r="L26" s="39"/>
    </row>
    <row r="27" spans="5:12" ht="15.75">
      <c r="E27" s="84"/>
      <c r="F27" s="84"/>
      <c r="G27" s="84"/>
      <c r="H27" s="84"/>
      <c r="I27" s="84"/>
      <c r="J27" s="84"/>
      <c r="K27" s="84"/>
      <c r="L27" s="39"/>
    </row>
    <row r="28" spans="3:12" ht="15.75">
      <c r="C28" s="88" t="s">
        <v>85</v>
      </c>
      <c r="E28" s="39"/>
      <c r="F28" s="39"/>
      <c r="G28" s="39"/>
      <c r="H28" s="39"/>
      <c r="I28" s="39"/>
      <c r="J28" s="39"/>
      <c r="K28" s="39"/>
      <c r="L28" s="39"/>
    </row>
    <row r="29" spans="3:12" ht="15.75">
      <c r="C29" t="s">
        <v>86</v>
      </c>
      <c r="E29" s="39">
        <v>5.94</v>
      </c>
      <c r="F29" s="39"/>
      <c r="G29" s="99" t="s">
        <v>91</v>
      </c>
      <c r="H29" s="39"/>
      <c r="I29" s="39"/>
      <c r="J29" s="39"/>
      <c r="K29" s="39"/>
      <c r="L29" s="39"/>
    </row>
    <row r="30" spans="3:12" ht="15.75">
      <c r="C30" t="s">
        <v>86</v>
      </c>
      <c r="E30" s="39">
        <v>1.34</v>
      </c>
      <c r="F30" s="39"/>
      <c r="G30" s="99" t="s">
        <v>92</v>
      </c>
      <c r="H30" s="39"/>
      <c r="I30" s="39"/>
      <c r="J30" s="39"/>
      <c r="K30" s="39"/>
      <c r="L30" s="39"/>
    </row>
    <row r="31" spans="3:12" ht="15.75">
      <c r="C31" t="s">
        <v>95</v>
      </c>
      <c r="E31" s="39">
        <v>0.48</v>
      </c>
      <c r="F31" s="39"/>
      <c r="G31" s="99" t="s">
        <v>91</v>
      </c>
      <c r="H31" s="39"/>
      <c r="I31" s="39"/>
      <c r="J31" s="39"/>
      <c r="K31" s="39"/>
      <c r="L31" s="39"/>
    </row>
    <row r="32" spans="3:12" ht="15.75">
      <c r="C32" t="s">
        <v>95</v>
      </c>
      <c r="E32" s="39">
        <v>0.08</v>
      </c>
      <c r="F32" s="39"/>
      <c r="G32" s="99" t="s">
        <v>92</v>
      </c>
      <c r="H32" s="39"/>
      <c r="I32" s="39"/>
      <c r="J32" s="39"/>
      <c r="K32" s="39"/>
      <c r="L32" s="39"/>
    </row>
    <row r="33" spans="3:12" ht="15.75">
      <c r="C33" t="s">
        <v>87</v>
      </c>
      <c r="E33" s="39">
        <v>0.98</v>
      </c>
      <c r="F33" s="39"/>
      <c r="G33" s="99" t="s">
        <v>91</v>
      </c>
      <c r="H33" s="39"/>
      <c r="I33" s="39"/>
      <c r="J33" s="39"/>
      <c r="K33" s="39"/>
      <c r="L33" s="39"/>
    </row>
    <row r="34" spans="3:12" ht="15.75">
      <c r="C34" t="s">
        <v>88</v>
      </c>
      <c r="E34" s="39">
        <v>0.98</v>
      </c>
      <c r="F34" s="39"/>
      <c r="G34" s="99" t="s">
        <v>91</v>
      </c>
      <c r="H34" s="39"/>
      <c r="I34" s="39"/>
      <c r="J34" s="39"/>
      <c r="K34" s="39"/>
      <c r="L34" s="39"/>
    </row>
    <row r="35" spans="3:12" ht="15.75">
      <c r="C35" t="s">
        <v>89</v>
      </c>
      <c r="E35" s="39">
        <v>0.43</v>
      </c>
      <c r="F35" s="39"/>
      <c r="G35" s="39"/>
      <c r="H35" s="39"/>
      <c r="I35" s="39">
        <v>0.14</v>
      </c>
      <c r="J35" s="39"/>
      <c r="K35" s="39"/>
      <c r="L35" s="39"/>
    </row>
    <row r="36" spans="3:12" ht="15.75">
      <c r="C36" t="s">
        <v>90</v>
      </c>
      <c r="E36" s="39">
        <v>5.69</v>
      </c>
      <c r="F36" s="39"/>
      <c r="G36" s="39"/>
      <c r="H36" s="39"/>
      <c r="I36" s="39">
        <v>2</v>
      </c>
      <c r="J36" s="39"/>
      <c r="K36" s="39"/>
      <c r="L36" s="39"/>
    </row>
    <row r="37" spans="5:12" ht="16.5" thickBot="1">
      <c r="E37" s="97">
        <f>SUM(E29:E36)</f>
        <v>15.920000000000002</v>
      </c>
      <c r="F37" s="39"/>
      <c r="G37" s="39"/>
      <c r="H37" s="39"/>
      <c r="I37" s="97">
        <f>SUM(I29:I36)</f>
        <v>2.14</v>
      </c>
      <c r="J37" s="39"/>
      <c r="K37" s="39"/>
      <c r="L37" s="39"/>
    </row>
    <row r="38" spans="3:12" ht="16.5" thickTop="1">
      <c r="C38" s="100" t="s">
        <v>93</v>
      </c>
      <c r="E38" s="39"/>
      <c r="F38" s="39"/>
      <c r="G38" s="39"/>
      <c r="H38" s="39"/>
      <c r="I38" s="39"/>
      <c r="J38" s="39"/>
      <c r="K38" s="39"/>
      <c r="L38" s="39"/>
    </row>
    <row r="39" spans="3:12" ht="15.75">
      <c r="C39" s="100" t="s">
        <v>94</v>
      </c>
      <c r="E39" s="39"/>
      <c r="F39" s="39"/>
      <c r="G39" s="39"/>
      <c r="H39" s="39"/>
      <c r="I39" s="39"/>
      <c r="J39" s="39"/>
      <c r="K39" s="39"/>
      <c r="L39" s="39"/>
    </row>
    <row r="40" spans="5:12" ht="15.75">
      <c r="E40" s="39"/>
      <c r="F40" s="39"/>
      <c r="G40" s="39"/>
      <c r="H40" s="39"/>
      <c r="I40" s="39"/>
      <c r="J40" s="39"/>
      <c r="K40" s="39"/>
      <c r="L40" s="39"/>
    </row>
    <row r="41" spans="5:12" ht="15.75">
      <c r="E41" s="39"/>
      <c r="F41" s="39"/>
      <c r="G41" s="39"/>
      <c r="H41" s="39"/>
      <c r="I41" s="39"/>
      <c r="J41" s="39"/>
      <c r="K41" s="39"/>
      <c r="L41" s="39"/>
    </row>
    <row r="42" spans="5:12" ht="15.75">
      <c r="E42" s="39"/>
      <c r="F42" s="39"/>
      <c r="G42" s="39"/>
      <c r="H42" s="39"/>
      <c r="I42" s="39"/>
      <c r="J42" s="39"/>
      <c r="K42" s="39"/>
      <c r="L42" s="39"/>
    </row>
    <row r="43" spans="5:12" ht="15.75">
      <c r="E43" s="39"/>
      <c r="F43" s="39"/>
      <c r="G43" s="39"/>
      <c r="H43" s="39"/>
      <c r="I43" s="39"/>
      <c r="J43" s="39"/>
      <c r="K43" s="39"/>
      <c r="L43" s="39"/>
    </row>
    <row r="44" spans="5:12" ht="15.75">
      <c r="E44" s="39"/>
      <c r="F44" s="39"/>
      <c r="G44" s="39"/>
      <c r="H44" s="39"/>
      <c r="I44" s="39"/>
      <c r="J44" s="39"/>
      <c r="K44" s="39"/>
      <c r="L44" s="39"/>
    </row>
    <row r="45" spans="5:12" ht="15.75">
      <c r="E45" s="39"/>
      <c r="F45" s="39"/>
      <c r="G45" s="39"/>
      <c r="H45" s="39"/>
      <c r="I45" s="39"/>
      <c r="J45" s="39"/>
      <c r="K45" s="39"/>
      <c r="L45" s="39"/>
    </row>
    <row r="46" spans="5:12" ht="15.75">
      <c r="E46" s="39"/>
      <c r="F46" s="39"/>
      <c r="G46" s="39"/>
      <c r="H46" s="39"/>
      <c r="I46" s="39"/>
      <c r="J46" s="39"/>
      <c r="K46" s="39"/>
      <c r="L46" s="39"/>
    </row>
    <row r="47" spans="5:12" ht="15.75">
      <c r="E47" s="39"/>
      <c r="F47" s="39"/>
      <c r="G47" s="39"/>
      <c r="H47" s="39"/>
      <c r="I47" s="39"/>
      <c r="J47" s="39"/>
      <c r="K47" s="39"/>
      <c r="L47" s="39"/>
    </row>
    <row r="48" spans="5:12" ht="15.75">
      <c r="E48" s="39"/>
      <c r="F48" s="39"/>
      <c r="G48" s="39"/>
      <c r="H48" s="39"/>
      <c r="I48" s="39"/>
      <c r="J48" s="39"/>
      <c r="K48" s="39"/>
      <c r="L48" s="39"/>
    </row>
    <row r="49" spans="5:12" ht="15.75">
      <c r="E49" s="39"/>
      <c r="F49" s="39"/>
      <c r="G49" s="39"/>
      <c r="H49" s="39"/>
      <c r="I49" s="39"/>
      <c r="J49" s="39"/>
      <c r="K49" s="39"/>
      <c r="L49" s="39"/>
    </row>
    <row r="50" spans="5:12" ht="15.75">
      <c r="E50" s="39"/>
      <c r="F50" s="39"/>
      <c r="G50" s="39"/>
      <c r="H50" s="39"/>
      <c r="I50" s="39"/>
      <c r="J50" s="39"/>
      <c r="K50" s="39"/>
      <c r="L50" s="39"/>
    </row>
    <row r="51" spans="5:12" ht="15.75">
      <c r="E51" s="39"/>
      <c r="F51" s="39"/>
      <c r="G51" s="39"/>
      <c r="H51" s="39"/>
      <c r="I51" s="39"/>
      <c r="J51" s="39"/>
      <c r="K51" s="39"/>
      <c r="L51" s="39"/>
    </row>
    <row r="52" spans="5:12" ht="15.75">
      <c r="E52" s="39"/>
      <c r="F52" s="39"/>
      <c r="G52" s="39"/>
      <c r="H52" s="39"/>
      <c r="I52" s="39"/>
      <c r="J52" s="39"/>
      <c r="K52" s="39"/>
      <c r="L52" s="39"/>
    </row>
    <row r="53" spans="5:12" ht="15.75">
      <c r="E53" s="39"/>
      <c r="F53" s="39"/>
      <c r="G53" s="39"/>
      <c r="H53" s="39"/>
      <c r="I53" s="39"/>
      <c r="J53" s="39"/>
      <c r="K53" s="39"/>
      <c r="L53" s="39"/>
    </row>
    <row r="54" spans="5:12" ht="15.75">
      <c r="E54" s="39"/>
      <c r="F54" s="39"/>
      <c r="G54" s="39"/>
      <c r="H54" s="39"/>
      <c r="I54" s="39"/>
      <c r="J54" s="39"/>
      <c r="K54" s="39"/>
      <c r="L54" s="39"/>
    </row>
    <row r="55" spans="5:12" ht="15.75">
      <c r="E55" s="39"/>
      <c r="F55" s="39"/>
      <c r="G55" s="39"/>
      <c r="H55" s="39"/>
      <c r="I55" s="39"/>
      <c r="J55" s="39"/>
      <c r="K55" s="39"/>
      <c r="L55" s="39"/>
    </row>
    <row r="56" spans="5:12" ht="15.75">
      <c r="E56" s="39"/>
      <c r="F56" s="39"/>
      <c r="G56" s="39"/>
      <c r="H56" s="39"/>
      <c r="I56" s="39"/>
      <c r="J56" s="39"/>
      <c r="K56" s="39"/>
      <c r="L56" s="39"/>
    </row>
    <row r="57" spans="5:12" ht="15.75">
      <c r="E57" s="39"/>
      <c r="F57" s="39"/>
      <c r="G57" s="39"/>
      <c r="H57" s="39"/>
      <c r="I57" s="39"/>
      <c r="J57" s="39"/>
      <c r="K57" s="39"/>
      <c r="L57" s="39"/>
    </row>
    <row r="58" spans="5:12" ht="15.75">
      <c r="E58" s="39"/>
      <c r="F58" s="39"/>
      <c r="G58" s="39"/>
      <c r="H58" s="39"/>
      <c r="I58" s="39"/>
      <c r="J58" s="39"/>
      <c r="K58" s="39"/>
      <c r="L58" s="39"/>
    </row>
    <row r="59" spans="5:12" ht="15.75">
      <c r="E59" s="39"/>
      <c r="F59" s="39"/>
      <c r="G59" s="39"/>
      <c r="H59" s="39"/>
      <c r="I59" s="39"/>
      <c r="J59" s="39"/>
      <c r="K59" s="39"/>
      <c r="L59" s="39"/>
    </row>
    <row r="60" spans="5:12" ht="15.75">
      <c r="E60" s="39"/>
      <c r="F60" s="39"/>
      <c r="G60" s="39"/>
      <c r="H60" s="39"/>
      <c r="I60" s="39"/>
      <c r="J60" s="39"/>
      <c r="K60" s="39"/>
      <c r="L60" s="39"/>
    </row>
    <row r="61" spans="5:12" ht="15.75">
      <c r="E61" s="39"/>
      <c r="F61" s="39"/>
      <c r="G61" s="39"/>
      <c r="H61" s="39"/>
      <c r="I61" s="39"/>
      <c r="J61" s="39"/>
      <c r="K61" s="39"/>
      <c r="L61" s="39"/>
    </row>
    <row r="62" spans="5:12" ht="15.75">
      <c r="E62" s="39"/>
      <c r="F62" s="39"/>
      <c r="G62" s="39"/>
      <c r="H62" s="39"/>
      <c r="I62" s="39"/>
      <c r="J62" s="39"/>
      <c r="K62" s="39"/>
      <c r="L62" s="39"/>
    </row>
    <row r="63" spans="5:12" ht="15.75">
      <c r="E63" s="39"/>
      <c r="F63" s="39"/>
      <c r="G63" s="39"/>
      <c r="H63" s="39"/>
      <c r="I63" s="39"/>
      <c r="J63" s="39"/>
      <c r="K63" s="39"/>
      <c r="L63" s="39"/>
    </row>
    <row r="64" spans="5:12" ht="15.75">
      <c r="E64" s="39"/>
      <c r="F64" s="39"/>
      <c r="G64" s="39"/>
      <c r="H64" s="39"/>
      <c r="I64" s="39"/>
      <c r="J64" s="39"/>
      <c r="K64" s="39"/>
      <c r="L64" s="39"/>
    </row>
    <row r="65" spans="5:12" ht="15.75">
      <c r="E65" s="39"/>
      <c r="F65" s="39"/>
      <c r="G65" s="39"/>
      <c r="H65" s="39"/>
      <c r="I65" s="39"/>
      <c r="J65" s="39"/>
      <c r="K65" s="39"/>
      <c r="L65" s="39"/>
    </row>
    <row r="66" spans="5:12" ht="15.75">
      <c r="E66" s="39"/>
      <c r="F66" s="39"/>
      <c r="G66" s="39"/>
      <c r="H66" s="39"/>
      <c r="I66" s="39"/>
      <c r="J66" s="39"/>
      <c r="K66" s="39"/>
      <c r="L66" s="39"/>
    </row>
    <row r="67" spans="5:12" ht="15.75">
      <c r="E67" s="39"/>
      <c r="F67" s="39"/>
      <c r="G67" s="39"/>
      <c r="H67" s="39"/>
      <c r="I67" s="39"/>
      <c r="J67" s="39"/>
      <c r="K67" s="39"/>
      <c r="L67" s="39"/>
    </row>
    <row r="68" spans="5:12" ht="15.75">
      <c r="E68" s="39"/>
      <c r="F68" s="39"/>
      <c r="G68" s="39"/>
      <c r="H68" s="39"/>
      <c r="I68" s="39"/>
      <c r="J68" s="39"/>
      <c r="K68" s="39"/>
      <c r="L68" s="39"/>
    </row>
    <row r="69" spans="5:12" ht="15.75">
      <c r="E69" s="39"/>
      <c r="F69" s="39"/>
      <c r="G69" s="39"/>
      <c r="H69" s="39"/>
      <c r="I69" s="39"/>
      <c r="J69" s="39"/>
      <c r="K69" s="39"/>
      <c r="L69" s="39"/>
    </row>
    <row r="70" spans="5:12" ht="15.75">
      <c r="E70" s="39"/>
      <c r="F70" s="39"/>
      <c r="G70" s="39"/>
      <c r="H70" s="39"/>
      <c r="I70" s="39"/>
      <c r="J70" s="39"/>
      <c r="K70" s="39"/>
      <c r="L70" s="39"/>
    </row>
    <row r="71" spans="5:12" ht="15.75">
      <c r="E71" s="39"/>
      <c r="F71" s="39"/>
      <c r="G71" s="39"/>
      <c r="H71" s="39"/>
      <c r="I71" s="39"/>
      <c r="J71" s="39"/>
      <c r="K71" s="39"/>
      <c r="L71" s="39"/>
    </row>
    <row r="72" spans="5:12" ht="15.75">
      <c r="E72" s="39"/>
      <c r="F72" s="39"/>
      <c r="G72" s="39"/>
      <c r="H72" s="39"/>
      <c r="I72" s="39"/>
      <c r="J72" s="39"/>
      <c r="K72" s="39"/>
      <c r="L72" s="39"/>
    </row>
    <row r="73" spans="5:12" ht="15.75">
      <c r="E73" s="39"/>
      <c r="F73" s="39"/>
      <c r="G73" s="39"/>
      <c r="H73" s="39"/>
      <c r="I73" s="39"/>
      <c r="J73" s="39"/>
      <c r="K73" s="39"/>
      <c r="L73" s="39"/>
    </row>
    <row r="74" spans="5:12" ht="15.75">
      <c r="E74" s="39"/>
      <c r="F74" s="39"/>
      <c r="G74" s="39"/>
      <c r="H74" s="39"/>
      <c r="I74" s="39"/>
      <c r="J74" s="39"/>
      <c r="K74" s="39"/>
      <c r="L74" s="39"/>
    </row>
    <row r="75" spans="5:12" ht="15.75">
      <c r="E75" s="39"/>
      <c r="F75" s="39"/>
      <c r="G75" s="39"/>
      <c r="H75" s="39"/>
      <c r="I75" s="39"/>
      <c r="J75" s="39"/>
      <c r="K75" s="39"/>
      <c r="L75" s="39"/>
    </row>
    <row r="76" spans="5:12" ht="15.75">
      <c r="E76" s="39"/>
      <c r="F76" s="39"/>
      <c r="G76" s="39"/>
      <c r="H76" s="39"/>
      <c r="I76" s="39"/>
      <c r="J76" s="39"/>
      <c r="K76" s="39"/>
      <c r="L76" s="39"/>
    </row>
    <row r="77" spans="5:12" ht="15.75">
      <c r="E77" s="39"/>
      <c r="F77" s="39"/>
      <c r="G77" s="39"/>
      <c r="H77" s="39"/>
      <c r="I77" s="39"/>
      <c r="J77" s="39"/>
      <c r="K77" s="39"/>
      <c r="L77" s="39"/>
    </row>
    <row r="78" spans="5:12" ht="15.75">
      <c r="E78" s="39"/>
      <c r="F78" s="39"/>
      <c r="G78" s="39"/>
      <c r="H78" s="39"/>
      <c r="I78" s="39"/>
      <c r="J78" s="39"/>
      <c r="K78" s="39"/>
      <c r="L78" s="39"/>
    </row>
    <row r="79" spans="5:12" ht="15.75">
      <c r="E79" s="39"/>
      <c r="F79" s="39"/>
      <c r="G79" s="39"/>
      <c r="H79" s="39"/>
      <c r="I79" s="39"/>
      <c r="J79" s="39"/>
      <c r="K79" s="39"/>
      <c r="L79" s="39"/>
    </row>
    <row r="80" spans="5:12" ht="15.75">
      <c r="E80" s="39"/>
      <c r="F80" s="39"/>
      <c r="G80" s="39"/>
      <c r="H80" s="39"/>
      <c r="I80" s="39"/>
      <c r="J80" s="39"/>
      <c r="K80" s="39"/>
      <c r="L80" s="39"/>
    </row>
    <row r="81" spans="5:12" ht="15.75">
      <c r="E81" s="39"/>
      <c r="F81" s="39"/>
      <c r="G81" s="39"/>
      <c r="H81" s="39"/>
      <c r="I81" s="39"/>
      <c r="J81" s="39"/>
      <c r="K81" s="39"/>
      <c r="L81" s="39"/>
    </row>
    <row r="82" spans="5:12" ht="15.75">
      <c r="E82" s="39"/>
      <c r="F82" s="39"/>
      <c r="G82" s="39"/>
      <c r="H82" s="39"/>
      <c r="I82" s="39"/>
      <c r="J82" s="39"/>
      <c r="K82" s="39"/>
      <c r="L82" s="39"/>
    </row>
    <row r="83" spans="5:12" ht="15.75">
      <c r="E83" s="39"/>
      <c r="F83" s="39"/>
      <c r="G83" s="39"/>
      <c r="H83" s="39"/>
      <c r="I83" s="39"/>
      <c r="J83" s="39"/>
      <c r="K83" s="39"/>
      <c r="L83" s="39"/>
    </row>
    <row r="84" spans="5:12" ht="15.75">
      <c r="E84" s="39"/>
      <c r="F84" s="39"/>
      <c r="G84" s="39"/>
      <c r="H84" s="39"/>
      <c r="I84" s="39"/>
      <c r="J84" s="39"/>
      <c r="K84" s="39"/>
      <c r="L84" s="39"/>
    </row>
    <row r="85" spans="5:12" ht="15.75">
      <c r="E85" s="39"/>
      <c r="F85" s="39"/>
      <c r="G85" s="39"/>
      <c r="H85" s="39"/>
      <c r="I85" s="39"/>
      <c r="J85" s="39"/>
      <c r="K85" s="39"/>
      <c r="L85" s="39"/>
    </row>
    <row r="86" spans="5:12" ht="15.75">
      <c r="E86" s="39"/>
      <c r="F86" s="39"/>
      <c r="G86" s="39"/>
      <c r="H86" s="39"/>
      <c r="I86" s="39"/>
      <c r="J86" s="39"/>
      <c r="K86" s="39"/>
      <c r="L86" s="39"/>
    </row>
    <row r="87" spans="5:12" ht="15.75">
      <c r="E87" s="39"/>
      <c r="F87" s="39"/>
      <c r="G87" s="39"/>
      <c r="H87" s="39"/>
      <c r="I87" s="39"/>
      <c r="J87" s="39"/>
      <c r="K87" s="39"/>
      <c r="L87" s="39"/>
    </row>
    <row r="88" spans="5:12" ht="15.75">
      <c r="E88" s="39"/>
      <c r="F88" s="39"/>
      <c r="G88" s="39"/>
      <c r="H88" s="39"/>
      <c r="I88" s="39"/>
      <c r="J88" s="39"/>
      <c r="K88" s="39"/>
      <c r="L88" s="39"/>
    </row>
    <row r="89" spans="5:12" ht="15.75">
      <c r="E89" s="39"/>
      <c r="F89" s="39"/>
      <c r="G89" s="39"/>
      <c r="H89" s="39"/>
      <c r="I89" s="39"/>
      <c r="J89" s="39"/>
      <c r="K89" s="39"/>
      <c r="L89" s="39"/>
    </row>
    <row r="90" spans="5:12" ht="15.75">
      <c r="E90" s="39"/>
      <c r="F90" s="39"/>
      <c r="G90" s="39"/>
      <c r="H90" s="39"/>
      <c r="I90" s="39"/>
      <c r="J90" s="39"/>
      <c r="K90" s="39"/>
      <c r="L90" s="39"/>
    </row>
    <row r="91" spans="5:12" ht="15.75">
      <c r="E91" s="39"/>
      <c r="F91" s="39"/>
      <c r="G91" s="39"/>
      <c r="H91" s="39"/>
      <c r="I91" s="39"/>
      <c r="J91" s="39"/>
      <c r="K91" s="39"/>
      <c r="L91" s="39"/>
    </row>
    <row r="92" spans="5:12" ht="15.75">
      <c r="E92" s="39"/>
      <c r="F92" s="39"/>
      <c r="G92" s="39"/>
      <c r="H92" s="39"/>
      <c r="I92" s="39"/>
      <c r="J92" s="39"/>
      <c r="K92" s="39"/>
      <c r="L92" s="39"/>
    </row>
    <row r="93" spans="5:12" ht="15.75">
      <c r="E93" s="39"/>
      <c r="F93" s="39"/>
      <c r="G93" s="39"/>
      <c r="H93" s="39"/>
      <c r="I93" s="39"/>
      <c r="J93" s="39"/>
      <c r="K93" s="39"/>
      <c r="L93" s="39"/>
    </row>
    <row r="94" spans="5:12" ht="15.75">
      <c r="E94" s="39"/>
      <c r="F94" s="39"/>
      <c r="G94" s="39"/>
      <c r="H94" s="39"/>
      <c r="I94" s="39"/>
      <c r="J94" s="39"/>
      <c r="K94" s="39"/>
      <c r="L94" s="39"/>
    </row>
    <row r="95" spans="5:12" ht="15.75">
      <c r="E95" s="39"/>
      <c r="F95" s="39"/>
      <c r="G95" s="39"/>
      <c r="H95" s="39"/>
      <c r="I95" s="39"/>
      <c r="J95" s="39"/>
      <c r="K95" s="39"/>
      <c r="L95" s="39"/>
    </row>
    <row r="96" spans="5:12" ht="15.75">
      <c r="E96" s="39"/>
      <c r="F96" s="39"/>
      <c r="G96" s="39"/>
      <c r="H96" s="39"/>
      <c r="I96" s="39"/>
      <c r="J96" s="39"/>
      <c r="K96" s="39"/>
      <c r="L96" s="39"/>
    </row>
    <row r="97" spans="5:12" ht="15.75">
      <c r="E97" s="39"/>
      <c r="F97" s="39"/>
      <c r="G97" s="39"/>
      <c r="H97" s="39"/>
      <c r="I97" s="39"/>
      <c r="J97" s="39"/>
      <c r="K97" s="39"/>
      <c r="L97" s="39"/>
    </row>
    <row r="98" spans="5:12" ht="15.75">
      <c r="E98" s="39"/>
      <c r="F98" s="39"/>
      <c r="G98" s="39"/>
      <c r="H98" s="39"/>
      <c r="I98" s="39"/>
      <c r="J98" s="39"/>
      <c r="K98" s="39"/>
      <c r="L98" s="39"/>
    </row>
    <row r="99" spans="5:12" ht="15.75">
      <c r="E99" s="39"/>
      <c r="F99" s="39"/>
      <c r="G99" s="39"/>
      <c r="H99" s="39"/>
      <c r="I99" s="39"/>
      <c r="J99" s="39"/>
      <c r="K99" s="39"/>
      <c r="L99" s="39"/>
    </row>
    <row r="100" spans="5:12" ht="15.75">
      <c r="E100" s="39"/>
      <c r="F100" s="39"/>
      <c r="G100" s="39"/>
      <c r="H100" s="39"/>
      <c r="I100" s="39"/>
      <c r="J100" s="39"/>
      <c r="K100" s="39"/>
      <c r="L100" s="39"/>
    </row>
    <row r="101" spans="5:12" ht="15.75">
      <c r="E101" s="39"/>
      <c r="F101" s="39"/>
      <c r="G101" s="39"/>
      <c r="H101" s="39"/>
      <c r="I101" s="39"/>
      <c r="J101" s="39"/>
      <c r="K101" s="39"/>
      <c r="L101" s="39"/>
    </row>
    <row r="102" spans="5:12" ht="15.75">
      <c r="E102" s="39"/>
      <c r="F102" s="39"/>
      <c r="G102" s="39"/>
      <c r="H102" s="39"/>
      <c r="I102" s="39"/>
      <c r="J102" s="39"/>
      <c r="K102" s="39"/>
      <c r="L102" s="39"/>
    </row>
    <row r="103" spans="5:12" ht="15.75">
      <c r="E103" s="39"/>
      <c r="F103" s="39"/>
      <c r="G103" s="39"/>
      <c r="H103" s="39"/>
      <c r="I103" s="39"/>
      <c r="J103" s="39"/>
      <c r="K103" s="39"/>
      <c r="L103" s="39"/>
    </row>
    <row r="104" spans="5:12" ht="15.75">
      <c r="E104" s="39"/>
      <c r="F104" s="39"/>
      <c r="G104" s="39"/>
      <c r="H104" s="39"/>
      <c r="I104" s="39"/>
      <c r="J104" s="39"/>
      <c r="K104" s="39"/>
      <c r="L104" s="39"/>
    </row>
    <row r="105" spans="5:12" ht="15.75">
      <c r="E105" s="39"/>
      <c r="F105" s="39"/>
      <c r="G105" s="39"/>
      <c r="H105" s="39"/>
      <c r="I105" s="39"/>
      <c r="J105" s="39"/>
      <c r="K105" s="39"/>
      <c r="L105" s="39"/>
    </row>
    <row r="106" spans="5:12" ht="15.75">
      <c r="E106" s="39"/>
      <c r="F106" s="39"/>
      <c r="G106" s="39"/>
      <c r="H106" s="39"/>
      <c r="I106" s="39"/>
      <c r="J106" s="39"/>
      <c r="K106" s="39"/>
      <c r="L106" s="39"/>
    </row>
    <row r="107" spans="5:12" ht="15.75">
      <c r="E107" s="39"/>
      <c r="F107" s="39"/>
      <c r="G107" s="39"/>
      <c r="H107" s="39"/>
      <c r="I107" s="39"/>
      <c r="J107" s="39"/>
      <c r="K107" s="39"/>
      <c r="L107" s="39"/>
    </row>
    <row r="108" spans="5:12" ht="15.75">
      <c r="E108" s="39"/>
      <c r="F108" s="39"/>
      <c r="G108" s="39"/>
      <c r="H108" s="39"/>
      <c r="I108" s="39"/>
      <c r="J108" s="39"/>
      <c r="K108" s="39"/>
      <c r="L108" s="39"/>
    </row>
    <row r="109" spans="5:12" ht="15.75">
      <c r="E109" s="39"/>
      <c r="F109" s="39"/>
      <c r="G109" s="39"/>
      <c r="H109" s="39"/>
      <c r="I109" s="39"/>
      <c r="J109" s="39"/>
      <c r="K109" s="39"/>
      <c r="L109" s="39"/>
    </row>
    <row r="110" spans="5:12" ht="15.75">
      <c r="E110" s="39"/>
      <c r="F110" s="39"/>
      <c r="G110" s="39"/>
      <c r="H110" s="39"/>
      <c r="I110" s="39"/>
      <c r="J110" s="39"/>
      <c r="K110" s="39"/>
      <c r="L110" s="39"/>
    </row>
    <row r="111" spans="5:12" ht="15.75">
      <c r="E111" s="39"/>
      <c r="F111" s="39"/>
      <c r="G111" s="39"/>
      <c r="H111" s="39"/>
      <c r="I111" s="39"/>
      <c r="J111" s="39"/>
      <c r="K111" s="39"/>
      <c r="L111" s="39"/>
    </row>
    <row r="112" spans="5:12" ht="15.75">
      <c r="E112" s="39"/>
      <c r="F112" s="39"/>
      <c r="G112" s="39"/>
      <c r="H112" s="39"/>
      <c r="I112" s="39"/>
      <c r="J112" s="39"/>
      <c r="K112" s="39"/>
      <c r="L112" s="39"/>
    </row>
    <row r="113" spans="5:12" ht="15.75">
      <c r="E113" s="39"/>
      <c r="F113" s="39"/>
      <c r="G113" s="39"/>
      <c r="H113" s="39"/>
      <c r="I113" s="39"/>
      <c r="J113" s="39"/>
      <c r="K113" s="39"/>
      <c r="L113" s="39"/>
    </row>
    <row r="114" spans="5:12" ht="15.75">
      <c r="E114" s="39"/>
      <c r="F114" s="39"/>
      <c r="G114" s="39"/>
      <c r="H114" s="39"/>
      <c r="I114" s="39"/>
      <c r="J114" s="39"/>
      <c r="K114" s="39"/>
      <c r="L114" s="39"/>
    </row>
    <row r="115" spans="5:12" ht="15.75">
      <c r="E115" s="39"/>
      <c r="F115" s="39"/>
      <c r="G115" s="39"/>
      <c r="H115" s="39"/>
      <c r="I115" s="39"/>
      <c r="J115" s="39"/>
      <c r="K115" s="39"/>
      <c r="L115" s="39"/>
    </row>
    <row r="116" spans="5:12" ht="15.75">
      <c r="E116" s="39"/>
      <c r="F116" s="39"/>
      <c r="G116" s="39"/>
      <c r="H116" s="39"/>
      <c r="I116" s="39"/>
      <c r="J116" s="39"/>
      <c r="K116" s="39"/>
      <c r="L116" s="39"/>
    </row>
    <row r="117" spans="5:12" ht="15.75">
      <c r="E117" s="39"/>
      <c r="F117" s="39"/>
      <c r="G117" s="39"/>
      <c r="H117" s="39"/>
      <c r="I117" s="39"/>
      <c r="J117" s="39"/>
      <c r="K117" s="39"/>
      <c r="L117" s="39"/>
    </row>
    <row r="118" spans="5:12" ht="15.75">
      <c r="E118" s="39"/>
      <c r="F118" s="39"/>
      <c r="G118" s="39"/>
      <c r="H118" s="39"/>
      <c r="I118" s="39"/>
      <c r="J118" s="39"/>
      <c r="K118" s="39"/>
      <c r="L118" s="39"/>
    </row>
    <row r="119" spans="5:12" ht="15.75">
      <c r="E119" s="39"/>
      <c r="F119" s="39"/>
      <c r="G119" s="39"/>
      <c r="H119" s="39"/>
      <c r="I119" s="39"/>
      <c r="J119" s="39"/>
      <c r="K119" s="39"/>
      <c r="L119" s="39"/>
    </row>
    <row r="120" spans="5:12" ht="15.75">
      <c r="E120" s="39"/>
      <c r="F120" s="39"/>
      <c r="G120" s="39"/>
      <c r="H120" s="39"/>
      <c r="I120" s="39"/>
      <c r="J120" s="39"/>
      <c r="K120" s="39"/>
      <c r="L120" s="39"/>
    </row>
    <row r="121" spans="5:12" ht="15.75">
      <c r="E121" s="39"/>
      <c r="F121" s="39"/>
      <c r="G121" s="39"/>
      <c r="H121" s="39"/>
      <c r="I121" s="39"/>
      <c r="J121" s="39"/>
      <c r="K121" s="39"/>
      <c r="L121" s="39"/>
    </row>
    <row r="122" spans="5:12" ht="15.75">
      <c r="E122" s="39"/>
      <c r="F122" s="39"/>
      <c r="G122" s="39"/>
      <c r="H122" s="39"/>
      <c r="I122" s="39"/>
      <c r="J122" s="39"/>
      <c r="K122" s="39"/>
      <c r="L122" s="39"/>
    </row>
    <row r="123" spans="5:12" ht="15.75">
      <c r="E123" s="39"/>
      <c r="F123" s="39"/>
      <c r="G123" s="39"/>
      <c r="H123" s="39"/>
      <c r="I123" s="39"/>
      <c r="J123" s="39"/>
      <c r="K123" s="39"/>
      <c r="L123" s="39"/>
    </row>
    <row r="124" spans="5:12" ht="15.75">
      <c r="E124" s="39"/>
      <c r="F124" s="39"/>
      <c r="G124" s="39"/>
      <c r="H124" s="39"/>
      <c r="I124" s="39"/>
      <c r="J124" s="39"/>
      <c r="K124" s="39"/>
      <c r="L124" s="39"/>
    </row>
    <row r="125" spans="5:12" ht="15.75">
      <c r="E125" s="39"/>
      <c r="F125" s="39"/>
      <c r="G125" s="39"/>
      <c r="H125" s="39"/>
      <c r="I125" s="39"/>
      <c r="J125" s="39"/>
      <c r="K125" s="39"/>
      <c r="L125" s="39"/>
    </row>
    <row r="126" spans="5:12" ht="15.75">
      <c r="E126" s="39"/>
      <c r="F126" s="39"/>
      <c r="G126" s="39"/>
      <c r="H126" s="39"/>
      <c r="I126" s="39"/>
      <c r="J126" s="39"/>
      <c r="K126" s="39"/>
      <c r="L126" s="39"/>
    </row>
    <row r="127" spans="5:12" ht="15.75">
      <c r="E127" s="39"/>
      <c r="F127" s="39"/>
      <c r="G127" s="39"/>
      <c r="H127" s="39"/>
      <c r="I127" s="39"/>
      <c r="J127" s="39"/>
      <c r="K127" s="39"/>
      <c r="L127" s="39"/>
    </row>
    <row r="128" spans="5:12" ht="15.75">
      <c r="E128" s="39"/>
      <c r="F128" s="39"/>
      <c r="G128" s="39"/>
      <c r="H128" s="39"/>
      <c r="I128" s="39"/>
      <c r="J128" s="39"/>
      <c r="K128" s="39"/>
      <c r="L128" s="39"/>
    </row>
    <row r="129" spans="5:12" ht="15.75">
      <c r="E129" s="39"/>
      <c r="F129" s="39"/>
      <c r="G129" s="39"/>
      <c r="H129" s="39"/>
      <c r="I129" s="39"/>
      <c r="J129" s="39"/>
      <c r="K129" s="39"/>
      <c r="L129" s="39"/>
    </row>
    <row r="130" spans="5:12" ht="15.75">
      <c r="E130" s="39"/>
      <c r="F130" s="39"/>
      <c r="G130" s="39"/>
      <c r="H130" s="39"/>
      <c r="I130" s="39"/>
      <c r="J130" s="39"/>
      <c r="K130" s="39"/>
      <c r="L130" s="39"/>
    </row>
    <row r="131" spans="5:12" ht="15.75">
      <c r="E131" s="39"/>
      <c r="F131" s="39"/>
      <c r="G131" s="39"/>
      <c r="H131" s="39"/>
      <c r="I131" s="39"/>
      <c r="J131" s="39"/>
      <c r="K131" s="39"/>
      <c r="L131" s="39"/>
    </row>
    <row r="132" spans="5:12" ht="15.75">
      <c r="E132" s="39"/>
      <c r="F132" s="39"/>
      <c r="G132" s="39"/>
      <c r="H132" s="39"/>
      <c r="I132" s="39"/>
      <c r="J132" s="39"/>
      <c r="K132" s="39"/>
      <c r="L132" s="39"/>
    </row>
    <row r="133" spans="5:12" ht="15.75">
      <c r="E133" s="39"/>
      <c r="F133" s="39"/>
      <c r="G133" s="39"/>
      <c r="H133" s="39"/>
      <c r="I133" s="39"/>
      <c r="J133" s="39"/>
      <c r="K133" s="39"/>
      <c r="L133" s="39"/>
    </row>
    <row r="134" spans="5:12" ht="15.75">
      <c r="E134" s="39"/>
      <c r="F134" s="39"/>
      <c r="G134" s="39"/>
      <c r="H134" s="39"/>
      <c r="I134" s="39"/>
      <c r="J134" s="39"/>
      <c r="K134" s="39"/>
      <c r="L134" s="39"/>
    </row>
    <row r="135" spans="5:12" ht="15.75">
      <c r="E135" s="39"/>
      <c r="F135" s="39"/>
      <c r="G135" s="39"/>
      <c r="H135" s="39"/>
      <c r="I135" s="39"/>
      <c r="J135" s="39"/>
      <c r="K135" s="39"/>
      <c r="L135" s="39"/>
    </row>
    <row r="136" spans="5:12" ht="15.75">
      <c r="E136" s="39"/>
      <c r="F136" s="39"/>
      <c r="G136" s="39"/>
      <c r="H136" s="39"/>
      <c r="I136" s="39"/>
      <c r="J136" s="39"/>
      <c r="K136" s="39"/>
      <c r="L136" s="39"/>
    </row>
    <row r="137" spans="5:12" ht="15.75">
      <c r="E137" s="39"/>
      <c r="F137" s="39"/>
      <c r="G137" s="39"/>
      <c r="H137" s="39"/>
      <c r="I137" s="39"/>
      <c r="J137" s="39"/>
      <c r="K137" s="39"/>
      <c r="L137" s="39"/>
    </row>
    <row r="138" spans="5:12" ht="15.75">
      <c r="E138" s="39"/>
      <c r="F138" s="39"/>
      <c r="G138" s="39"/>
      <c r="H138" s="39"/>
      <c r="I138" s="39"/>
      <c r="J138" s="39"/>
      <c r="K138" s="39"/>
      <c r="L138" s="39"/>
    </row>
    <row r="139" spans="5:12" ht="15.75">
      <c r="E139" s="39"/>
      <c r="F139" s="39"/>
      <c r="G139" s="39"/>
      <c r="H139" s="39"/>
      <c r="I139" s="39"/>
      <c r="J139" s="39"/>
      <c r="K139" s="39"/>
      <c r="L139" s="39"/>
    </row>
    <row r="140" spans="5:12" ht="15.75">
      <c r="E140" s="39"/>
      <c r="F140" s="39"/>
      <c r="G140" s="39"/>
      <c r="H140" s="39"/>
      <c r="I140" s="39"/>
      <c r="J140" s="39"/>
      <c r="K140" s="39"/>
      <c r="L140" s="39"/>
    </row>
    <row r="141" spans="5:12" ht="15.75">
      <c r="E141" s="39"/>
      <c r="F141" s="39"/>
      <c r="G141" s="39"/>
      <c r="H141" s="39"/>
      <c r="I141" s="39"/>
      <c r="J141" s="39"/>
      <c r="K141" s="39"/>
      <c r="L141" s="39"/>
    </row>
    <row r="142" spans="5:12" ht="15.75">
      <c r="E142" s="39"/>
      <c r="F142" s="39"/>
      <c r="G142" s="39"/>
      <c r="H142" s="39"/>
      <c r="I142" s="39"/>
      <c r="J142" s="39"/>
      <c r="K142" s="39"/>
      <c r="L142" s="39"/>
    </row>
    <row r="143" spans="5:12" ht="15.75">
      <c r="E143" s="39"/>
      <c r="F143" s="39"/>
      <c r="G143" s="39"/>
      <c r="H143" s="39"/>
      <c r="I143" s="39"/>
      <c r="J143" s="39"/>
      <c r="K143" s="39"/>
      <c r="L143" s="39"/>
    </row>
    <row r="144" spans="5:12" ht="15.75">
      <c r="E144" s="39"/>
      <c r="F144" s="39"/>
      <c r="G144" s="39"/>
      <c r="H144" s="39"/>
      <c r="I144" s="39"/>
      <c r="J144" s="39"/>
      <c r="K144" s="39"/>
      <c r="L144" s="39"/>
    </row>
    <row r="145" spans="5:12" ht="15.75">
      <c r="E145" s="39"/>
      <c r="F145" s="39"/>
      <c r="G145" s="39"/>
      <c r="H145" s="39"/>
      <c r="I145" s="39"/>
      <c r="J145" s="39"/>
      <c r="K145" s="39"/>
      <c r="L145" s="39"/>
    </row>
    <row r="146" spans="5:12" ht="15.75">
      <c r="E146" s="39"/>
      <c r="F146" s="39"/>
      <c r="G146" s="39"/>
      <c r="H146" s="39"/>
      <c r="I146" s="39"/>
      <c r="J146" s="39"/>
      <c r="K146" s="39"/>
      <c r="L146" s="39"/>
    </row>
    <row r="147" spans="5:12" ht="15.75">
      <c r="E147" s="39"/>
      <c r="F147" s="39"/>
      <c r="G147" s="39"/>
      <c r="H147" s="39"/>
      <c r="I147" s="39"/>
      <c r="J147" s="39"/>
      <c r="K147" s="39"/>
      <c r="L147" s="39"/>
    </row>
    <row r="148" spans="5:12" ht="15.75">
      <c r="E148" s="39"/>
      <c r="F148" s="39"/>
      <c r="G148" s="39"/>
      <c r="H148" s="39"/>
      <c r="I148" s="39"/>
      <c r="J148" s="39"/>
      <c r="K148" s="39"/>
      <c r="L148" s="39"/>
    </row>
    <row r="149" spans="5:12" ht="15.75">
      <c r="E149" s="39"/>
      <c r="F149" s="39"/>
      <c r="G149" s="39"/>
      <c r="H149" s="39"/>
      <c r="I149" s="39"/>
      <c r="J149" s="39"/>
      <c r="K149" s="39"/>
      <c r="L149" s="39"/>
    </row>
    <row r="150" spans="5:12" ht="15.75">
      <c r="E150" s="39"/>
      <c r="F150" s="39"/>
      <c r="G150" s="39"/>
      <c r="H150" s="39"/>
      <c r="I150" s="39"/>
      <c r="J150" s="39"/>
      <c r="K150" s="39"/>
      <c r="L150" s="39"/>
    </row>
    <row r="151" spans="5:12" ht="15.75">
      <c r="E151" s="39"/>
      <c r="F151" s="39"/>
      <c r="G151" s="39"/>
      <c r="H151" s="39"/>
      <c r="I151" s="39"/>
      <c r="J151" s="39"/>
      <c r="K151" s="39"/>
      <c r="L151" s="39"/>
    </row>
    <row r="152" spans="5:12" ht="15.75">
      <c r="E152" s="39"/>
      <c r="F152" s="39"/>
      <c r="G152" s="39"/>
      <c r="H152" s="39"/>
      <c r="I152" s="39"/>
      <c r="J152" s="39"/>
      <c r="K152" s="39"/>
      <c r="L152" s="39"/>
    </row>
    <row r="153" spans="5:12" ht="15.75">
      <c r="E153" s="39"/>
      <c r="F153" s="39"/>
      <c r="G153" s="39"/>
      <c r="H153" s="39"/>
      <c r="I153" s="39"/>
      <c r="J153" s="39"/>
      <c r="K153" s="39"/>
      <c r="L153" s="39"/>
    </row>
    <row r="154" spans="5:12" ht="15.75">
      <c r="E154" s="39"/>
      <c r="F154" s="39"/>
      <c r="G154" s="39"/>
      <c r="H154" s="39"/>
      <c r="I154" s="39"/>
      <c r="J154" s="39"/>
      <c r="K154" s="39"/>
      <c r="L154" s="39"/>
    </row>
    <row r="155" spans="5:12" ht="15.75">
      <c r="E155" s="39"/>
      <c r="F155" s="39"/>
      <c r="G155" s="39"/>
      <c r="H155" s="39"/>
      <c r="I155" s="39"/>
      <c r="J155" s="39"/>
      <c r="K155" s="39"/>
      <c r="L155" s="39"/>
    </row>
    <row r="156" spans="5:12" ht="15.75">
      <c r="E156" s="39"/>
      <c r="F156" s="39"/>
      <c r="G156" s="39"/>
      <c r="H156" s="39"/>
      <c r="I156" s="39"/>
      <c r="J156" s="39"/>
      <c r="K156" s="39"/>
      <c r="L156" s="39"/>
    </row>
    <row r="157" spans="5:12" ht="15.75">
      <c r="E157" s="39"/>
      <c r="F157" s="39"/>
      <c r="G157" s="39"/>
      <c r="H157" s="39"/>
      <c r="I157" s="39"/>
      <c r="J157" s="39"/>
      <c r="K157" s="39"/>
      <c r="L157" s="39"/>
    </row>
    <row r="158" spans="5:12" ht="15.75">
      <c r="E158" s="39"/>
      <c r="F158" s="39"/>
      <c r="G158" s="39"/>
      <c r="H158" s="39"/>
      <c r="I158" s="39"/>
      <c r="J158" s="39"/>
      <c r="K158" s="39"/>
      <c r="L158" s="39"/>
    </row>
    <row r="159" spans="5:12" ht="15.75">
      <c r="E159" s="39"/>
      <c r="F159" s="39"/>
      <c r="G159" s="39"/>
      <c r="H159" s="39"/>
      <c r="I159" s="39"/>
      <c r="J159" s="39"/>
      <c r="K159" s="39"/>
      <c r="L159" s="39"/>
    </row>
    <row r="160" spans="5:12" ht="15.75">
      <c r="E160" s="39"/>
      <c r="F160" s="39"/>
      <c r="G160" s="39"/>
      <c r="H160" s="39"/>
      <c r="I160" s="39"/>
      <c r="J160" s="39"/>
      <c r="K160" s="39"/>
      <c r="L160" s="39"/>
    </row>
    <row r="161" spans="5:12" ht="15.75">
      <c r="E161" s="39"/>
      <c r="F161" s="39"/>
      <c r="G161" s="39"/>
      <c r="H161" s="39"/>
      <c r="I161" s="39"/>
      <c r="J161" s="39"/>
      <c r="K161" s="39"/>
      <c r="L161" s="39"/>
    </row>
    <row r="162" spans="5:12" ht="15.75">
      <c r="E162" s="39"/>
      <c r="F162" s="39"/>
      <c r="G162" s="39"/>
      <c r="H162" s="39"/>
      <c r="I162" s="39"/>
      <c r="J162" s="39"/>
      <c r="K162" s="39"/>
      <c r="L162" s="39"/>
    </row>
    <row r="163" spans="5:12" ht="15.75">
      <c r="E163" s="39"/>
      <c r="F163" s="39"/>
      <c r="G163" s="39"/>
      <c r="H163" s="39"/>
      <c r="I163" s="39"/>
      <c r="J163" s="39"/>
      <c r="K163" s="39"/>
      <c r="L163" s="39"/>
    </row>
    <row r="164" spans="5:12" ht="15.75">
      <c r="E164" s="39"/>
      <c r="F164" s="39"/>
      <c r="G164" s="39"/>
      <c r="H164" s="39"/>
      <c r="I164" s="39"/>
      <c r="J164" s="39"/>
      <c r="K164" s="39"/>
      <c r="L164" s="39"/>
    </row>
    <row r="165" spans="5:12" ht="15.75">
      <c r="E165" s="39"/>
      <c r="F165" s="39"/>
      <c r="G165" s="39"/>
      <c r="H165" s="39"/>
      <c r="I165" s="39"/>
      <c r="J165" s="39"/>
      <c r="K165" s="39"/>
      <c r="L165" s="39"/>
    </row>
    <row r="166" spans="5:12" ht="15.75">
      <c r="E166" s="39"/>
      <c r="F166" s="39"/>
      <c r="G166" s="39"/>
      <c r="H166" s="39"/>
      <c r="I166" s="39"/>
      <c r="J166" s="39"/>
      <c r="K166" s="39"/>
      <c r="L166" s="39"/>
    </row>
    <row r="167" spans="5:12" ht="15.75">
      <c r="E167" s="39"/>
      <c r="F167" s="39"/>
      <c r="G167" s="39"/>
      <c r="H167" s="39"/>
      <c r="I167" s="39"/>
      <c r="J167" s="39"/>
      <c r="K167" s="39"/>
      <c r="L167" s="39"/>
    </row>
    <row r="168" spans="5:12" ht="15.75">
      <c r="E168" s="39"/>
      <c r="F168" s="39"/>
      <c r="G168" s="39"/>
      <c r="H168" s="39"/>
      <c r="I168" s="39"/>
      <c r="J168" s="39"/>
      <c r="K168" s="39"/>
      <c r="L168" s="39"/>
    </row>
    <row r="169" spans="5:12" ht="15.75">
      <c r="E169" s="39"/>
      <c r="F169" s="39"/>
      <c r="G169" s="39"/>
      <c r="H169" s="39"/>
      <c r="I169" s="39"/>
      <c r="J169" s="39"/>
      <c r="K169" s="39"/>
      <c r="L169" s="39"/>
    </row>
    <row r="170" spans="5:12" ht="15.75">
      <c r="E170" s="39"/>
      <c r="F170" s="39"/>
      <c r="G170" s="39"/>
      <c r="H170" s="39"/>
      <c r="I170" s="39"/>
      <c r="J170" s="39"/>
      <c r="K170" s="39"/>
      <c r="L170" s="39"/>
    </row>
    <row r="171" spans="5:12" ht="15.75">
      <c r="E171" s="39"/>
      <c r="F171" s="39"/>
      <c r="G171" s="39"/>
      <c r="H171" s="39"/>
      <c r="I171" s="39"/>
      <c r="J171" s="39"/>
      <c r="K171" s="39"/>
      <c r="L171" s="39"/>
    </row>
    <row r="172" spans="5:12" ht="15.75">
      <c r="E172" s="39"/>
      <c r="F172" s="39"/>
      <c r="G172" s="39"/>
      <c r="H172" s="39"/>
      <c r="I172" s="39"/>
      <c r="J172" s="39"/>
      <c r="K172" s="39"/>
      <c r="L172" s="39"/>
    </row>
    <row r="173" spans="5:12" ht="15.75">
      <c r="E173" s="39"/>
      <c r="F173" s="39"/>
      <c r="G173" s="39"/>
      <c r="H173" s="39"/>
      <c r="I173" s="39"/>
      <c r="J173" s="39"/>
      <c r="K173" s="39"/>
      <c r="L173" s="39"/>
    </row>
    <row r="260" ht="15.75">
      <c r="E260" s="92"/>
    </row>
  </sheetData>
  <printOptions/>
  <pageMargins left="0.75" right="0.26" top="0.4" bottom="0.51" header="0.31" footer="0.45"/>
  <pageSetup horizontalDpi="300" verticalDpi="300" orientation="portrait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19"/>
  <sheetViews>
    <sheetView workbookViewId="0" topLeftCell="P1">
      <selection activeCell="A1" sqref="A1:AE40"/>
    </sheetView>
  </sheetViews>
  <sheetFormatPr defaultColWidth="8.88671875" defaultRowHeight="15.75"/>
  <cols>
    <col min="1" max="1" width="14.5546875" style="116" customWidth="1"/>
    <col min="2" max="2" width="0.671875" style="0" customWidth="1"/>
    <col min="3" max="3" width="11.4453125" style="0" customWidth="1"/>
    <col min="4" max="4" width="0.55078125" style="0" customWidth="1"/>
    <col min="5" max="5" width="9.5546875" style="0" bestFit="1" customWidth="1"/>
    <col min="6" max="6" width="0.3359375" style="0" customWidth="1"/>
    <col min="7" max="7" width="9.5546875" style="0" bestFit="1" customWidth="1"/>
    <col min="8" max="8" width="0.44140625" style="0" customWidth="1"/>
    <col min="9" max="9" width="9.21484375" style="0" bestFit="1" customWidth="1"/>
    <col min="10" max="10" width="0.44140625" style="0" customWidth="1"/>
    <col min="11" max="11" width="10.77734375" style="0" bestFit="1" customWidth="1"/>
    <col min="12" max="12" width="0.671875" style="0" customWidth="1"/>
    <col min="13" max="13" width="9.5546875" style="0" bestFit="1" customWidth="1"/>
    <col min="14" max="14" width="0.671875" style="0" customWidth="1"/>
    <col min="15" max="15" width="9.21484375" style="0" bestFit="1" customWidth="1"/>
    <col min="16" max="16" width="0.55078125" style="0" customWidth="1"/>
    <col min="17" max="17" width="9.21484375" style="0" bestFit="1" customWidth="1"/>
    <col min="18" max="18" width="0.55078125" style="0" customWidth="1"/>
    <col min="19" max="19" width="8.4453125" style="0" bestFit="1" customWidth="1"/>
    <col min="20" max="20" width="0.55078125" style="0" customWidth="1"/>
    <col min="21" max="21" width="9.5546875" style="0" bestFit="1" customWidth="1"/>
    <col min="22" max="22" width="0.671875" style="0" customWidth="1"/>
    <col min="23" max="23" width="9.5546875" style="0" bestFit="1" customWidth="1"/>
    <col min="24" max="24" width="0.44140625" style="0" customWidth="1"/>
    <col min="25" max="25" width="9.21484375" style="0" bestFit="1" customWidth="1"/>
    <col min="26" max="26" width="0.55078125" style="0" customWidth="1"/>
    <col min="27" max="27" width="9.21484375" style="0" bestFit="1" customWidth="1"/>
    <col min="28" max="28" width="0.44140625" style="0" customWidth="1"/>
    <col min="29" max="29" width="9.21484375" style="0" bestFit="1" customWidth="1"/>
    <col min="30" max="30" width="0.671875" style="0" customWidth="1"/>
    <col min="31" max="31" width="9.5546875" style="0" bestFit="1" customWidth="1"/>
    <col min="32" max="32" width="0.88671875" style="117" customWidth="1"/>
    <col min="33" max="33" width="9.21484375" style="0" customWidth="1"/>
    <col min="34" max="34" width="0.88671875" style="0" customWidth="1"/>
    <col min="35" max="35" width="8.4453125" style="0" bestFit="1" customWidth="1"/>
    <col min="36" max="36" width="0.88671875" style="0" customWidth="1"/>
    <col min="37" max="37" width="8.77734375" style="0" bestFit="1" customWidth="1"/>
    <col min="38" max="38" width="0.78125" style="0" customWidth="1"/>
    <col min="39" max="39" width="8.4453125" style="0" bestFit="1" customWidth="1"/>
    <col min="40" max="40" width="0.78125" style="0" customWidth="1"/>
    <col min="41" max="41" width="9.21484375" style="0" bestFit="1" customWidth="1"/>
    <col min="42" max="42" width="0.55078125" style="0" customWidth="1"/>
    <col min="43" max="43" width="4.88671875" style="0" bestFit="1" customWidth="1"/>
    <col min="44" max="44" width="0.671875" style="0" customWidth="1"/>
  </cols>
  <sheetData>
    <row r="1" spans="1:44" ht="15.75">
      <c r="A1" s="290" t="s">
        <v>132</v>
      </c>
      <c r="B1" s="291"/>
      <c r="C1" s="290"/>
      <c r="D1" s="290"/>
      <c r="E1" s="290"/>
      <c r="F1" s="121"/>
      <c r="G1" s="121"/>
      <c r="H1" s="121"/>
      <c r="I1" s="121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2"/>
      <c r="AG1" s="120"/>
      <c r="AH1" s="120"/>
      <c r="AI1" s="120"/>
      <c r="AJ1" s="120"/>
      <c r="AK1" s="120"/>
      <c r="AL1" s="120"/>
      <c r="AM1" s="120"/>
      <c r="AN1" s="120"/>
      <c r="AO1" s="123"/>
      <c r="AP1" s="120"/>
      <c r="AQ1" s="120"/>
      <c r="AR1" s="123"/>
    </row>
    <row r="2" spans="1:44" ht="15.75">
      <c r="A2" s="106" t="s">
        <v>133</v>
      </c>
      <c r="B2" s="110"/>
      <c r="C2" s="106"/>
      <c r="D2" s="106"/>
      <c r="E2" s="106"/>
      <c r="F2" s="124"/>
      <c r="G2" s="124"/>
      <c r="H2" s="124"/>
      <c r="I2" s="12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25"/>
      <c r="AG2" s="114"/>
      <c r="AH2" s="114"/>
      <c r="AI2" s="114"/>
      <c r="AJ2" s="114"/>
      <c r="AK2" s="114"/>
      <c r="AL2" s="114"/>
      <c r="AM2" s="114"/>
      <c r="AN2" s="114"/>
      <c r="AO2" s="126"/>
      <c r="AP2" s="114"/>
      <c r="AQ2" s="114"/>
      <c r="AR2" s="126"/>
    </row>
    <row r="3" spans="1:44" ht="15.75">
      <c r="A3" s="124"/>
      <c r="B3" s="114"/>
      <c r="C3" s="124"/>
      <c r="D3" s="124"/>
      <c r="E3" s="124"/>
      <c r="F3" s="124"/>
      <c r="G3" s="124"/>
      <c r="H3" s="124"/>
      <c r="I3" s="12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25"/>
      <c r="AG3" s="114"/>
      <c r="AH3" s="114"/>
      <c r="AI3" s="114"/>
      <c r="AJ3" s="114"/>
      <c r="AK3" s="114"/>
      <c r="AL3" s="114"/>
      <c r="AM3" s="114"/>
      <c r="AN3" s="114"/>
      <c r="AO3" s="126"/>
      <c r="AP3" s="114"/>
      <c r="AQ3" s="114"/>
      <c r="AR3" s="126"/>
    </row>
    <row r="4" spans="1:44" ht="15.75">
      <c r="A4" s="127"/>
      <c r="B4" s="110"/>
      <c r="C4" s="356" t="s">
        <v>101</v>
      </c>
      <c r="D4" s="357"/>
      <c r="E4" s="357"/>
      <c r="F4" s="357"/>
      <c r="G4" s="357"/>
      <c r="H4" s="357"/>
      <c r="I4" s="357"/>
      <c r="J4" s="357"/>
      <c r="K4" s="358"/>
      <c r="L4" s="106"/>
      <c r="M4" s="356" t="s">
        <v>103</v>
      </c>
      <c r="N4" s="357"/>
      <c r="O4" s="357"/>
      <c r="P4" s="357"/>
      <c r="Q4" s="357"/>
      <c r="R4" s="357"/>
      <c r="S4" s="357"/>
      <c r="T4" s="357"/>
      <c r="U4" s="358"/>
      <c r="V4" s="106"/>
      <c r="W4" s="356" t="s">
        <v>102</v>
      </c>
      <c r="X4" s="357"/>
      <c r="Y4" s="357"/>
      <c r="Z4" s="357"/>
      <c r="AA4" s="357"/>
      <c r="AB4" s="357"/>
      <c r="AC4" s="357"/>
      <c r="AD4" s="357"/>
      <c r="AE4" s="358"/>
      <c r="AF4" s="128"/>
      <c r="AG4" s="238" t="s">
        <v>122</v>
      </c>
      <c r="AH4" s="239"/>
      <c r="AI4" s="239"/>
      <c r="AJ4" s="239"/>
      <c r="AK4" s="239"/>
      <c r="AL4" s="239"/>
      <c r="AM4" s="239"/>
      <c r="AN4" s="239"/>
      <c r="AO4" s="240"/>
      <c r="AP4" s="239"/>
      <c r="AQ4" s="240"/>
      <c r="AR4" s="126"/>
    </row>
    <row r="5" spans="1:44" ht="16.5" thickBot="1">
      <c r="A5" s="127"/>
      <c r="B5" s="110"/>
      <c r="C5" s="107" t="s">
        <v>96</v>
      </c>
      <c r="D5" s="105"/>
      <c r="E5" s="104" t="s">
        <v>97</v>
      </c>
      <c r="F5" s="105"/>
      <c r="G5" s="104" t="s">
        <v>98</v>
      </c>
      <c r="H5" s="105"/>
      <c r="I5" s="104" t="s">
        <v>99</v>
      </c>
      <c r="J5" s="105"/>
      <c r="K5" s="108" t="s">
        <v>100</v>
      </c>
      <c r="L5" s="105"/>
      <c r="M5" s="107" t="s">
        <v>96</v>
      </c>
      <c r="N5" s="105"/>
      <c r="O5" s="104" t="s">
        <v>97</v>
      </c>
      <c r="P5" s="105"/>
      <c r="Q5" s="104" t="s">
        <v>98</v>
      </c>
      <c r="R5" s="105"/>
      <c r="S5" s="104" t="s">
        <v>99</v>
      </c>
      <c r="T5" s="105"/>
      <c r="U5" s="108" t="s">
        <v>100</v>
      </c>
      <c r="V5" s="105"/>
      <c r="W5" s="107" t="s">
        <v>96</v>
      </c>
      <c r="X5" s="105"/>
      <c r="Y5" s="104" t="s">
        <v>97</v>
      </c>
      <c r="Z5" s="105"/>
      <c r="AA5" s="104" t="s">
        <v>98</v>
      </c>
      <c r="AB5" s="105"/>
      <c r="AC5" s="104" t="s">
        <v>99</v>
      </c>
      <c r="AD5" s="105"/>
      <c r="AE5" s="108" t="s">
        <v>100</v>
      </c>
      <c r="AF5" s="128"/>
      <c r="AG5" s="241" t="s">
        <v>96</v>
      </c>
      <c r="AH5" s="242"/>
      <c r="AI5" s="243" t="s">
        <v>97</v>
      </c>
      <c r="AJ5" s="242"/>
      <c r="AK5" s="243" t="s">
        <v>98</v>
      </c>
      <c r="AL5" s="242"/>
      <c r="AM5" s="243" t="s">
        <v>99</v>
      </c>
      <c r="AN5" s="242"/>
      <c r="AO5" s="244" t="s">
        <v>100</v>
      </c>
      <c r="AP5" s="245"/>
      <c r="AQ5" s="246" t="s">
        <v>123</v>
      </c>
      <c r="AR5" s="126"/>
    </row>
    <row r="6" spans="1:44" ht="15.75">
      <c r="A6" s="229" t="s">
        <v>149</v>
      </c>
      <c r="B6" s="110"/>
      <c r="C6" s="109"/>
      <c r="D6" s="110"/>
      <c r="E6" s="110"/>
      <c r="F6" s="110"/>
      <c r="G6" s="110"/>
      <c r="H6" s="110"/>
      <c r="I6" s="110"/>
      <c r="J6" s="110"/>
      <c r="K6" s="111"/>
      <c r="L6" s="110"/>
      <c r="M6" s="109"/>
      <c r="N6" s="110"/>
      <c r="O6" s="110"/>
      <c r="P6" s="110"/>
      <c r="Q6" s="110"/>
      <c r="R6" s="110"/>
      <c r="S6" s="110"/>
      <c r="T6" s="110"/>
      <c r="U6" s="111"/>
      <c r="V6" s="110"/>
      <c r="W6" s="109"/>
      <c r="X6" s="110"/>
      <c r="Y6" s="110"/>
      <c r="Z6" s="110"/>
      <c r="AA6" s="110"/>
      <c r="AB6" s="110"/>
      <c r="AC6" s="110"/>
      <c r="AD6" s="110"/>
      <c r="AE6" s="111"/>
      <c r="AF6" s="129"/>
      <c r="AG6" s="247"/>
      <c r="AH6" s="248"/>
      <c r="AI6" s="248"/>
      <c r="AJ6" s="248"/>
      <c r="AK6" s="248"/>
      <c r="AL6" s="248"/>
      <c r="AM6" s="248"/>
      <c r="AN6" s="248"/>
      <c r="AO6" s="249"/>
      <c r="AP6" s="248"/>
      <c r="AQ6" s="250"/>
      <c r="AR6" s="126"/>
    </row>
    <row r="7" spans="1:44" ht="15.75">
      <c r="A7" s="127" t="s">
        <v>104</v>
      </c>
      <c r="B7" s="110"/>
      <c r="C7" s="230">
        <f>1229619815</f>
        <v>1229619815</v>
      </c>
      <c r="D7" s="231"/>
      <c r="E7" s="231">
        <f>181506298</f>
        <v>181506298</v>
      </c>
      <c r="F7" s="231"/>
      <c r="G7" s="189">
        <v>0</v>
      </c>
      <c r="H7" s="231"/>
      <c r="I7" s="270">
        <f>16035</f>
        <v>16035</v>
      </c>
      <c r="J7" s="231"/>
      <c r="K7" s="232">
        <f>SUM(C7:I7)</f>
        <v>1411142148</v>
      </c>
      <c r="L7" s="231"/>
      <c r="M7" s="230">
        <f>590482482</f>
        <v>590482482</v>
      </c>
      <c r="N7" s="231"/>
      <c r="O7" s="231">
        <f>91016765</f>
        <v>91016765</v>
      </c>
      <c r="P7" s="231"/>
      <c r="Q7" s="189">
        <v>0</v>
      </c>
      <c r="R7" s="231"/>
      <c r="S7" s="270">
        <f>16035</f>
        <v>16035</v>
      </c>
      <c r="T7" s="231"/>
      <c r="U7" s="232">
        <f>SUM(M7:S7)</f>
        <v>681515282</v>
      </c>
      <c r="V7" s="231"/>
      <c r="W7" s="230">
        <f>+C7-M7</f>
        <v>639137333</v>
      </c>
      <c r="X7" s="231"/>
      <c r="Y7" s="231">
        <f>+E7-O7</f>
        <v>90489533</v>
      </c>
      <c r="Z7" s="231"/>
      <c r="AA7" s="189">
        <f>+G7-Q7</f>
        <v>0</v>
      </c>
      <c r="AB7" s="189"/>
      <c r="AC7" s="189">
        <f>+I7-S7</f>
        <v>0</v>
      </c>
      <c r="AD7" s="231"/>
      <c r="AE7" s="232">
        <f>SUM(W7:AC7)</f>
        <v>729626866</v>
      </c>
      <c r="AF7" s="219"/>
      <c r="AG7" s="251">
        <f>+W7-M7</f>
        <v>48654851</v>
      </c>
      <c r="AH7" s="252"/>
      <c r="AI7" s="252">
        <f>+Y7-O7</f>
        <v>-527232</v>
      </c>
      <c r="AJ7" s="252"/>
      <c r="AK7" s="252">
        <f>+AA7-Q7</f>
        <v>0</v>
      </c>
      <c r="AL7" s="252"/>
      <c r="AM7" s="252">
        <f>+AC7-S7</f>
        <v>-16035</v>
      </c>
      <c r="AN7" s="252"/>
      <c r="AO7" s="253">
        <f>SUM(AG7:AM7)</f>
        <v>48111584</v>
      </c>
      <c r="AP7" s="254"/>
      <c r="AQ7" s="255">
        <f>+AO7/U7</f>
        <v>0.07059501858683193</v>
      </c>
      <c r="AR7" s="126"/>
    </row>
    <row r="8" spans="1:44" ht="15.75">
      <c r="A8" s="127" t="s">
        <v>105</v>
      </c>
      <c r="B8" s="110"/>
      <c r="C8" s="269">
        <f>1049495</f>
        <v>1049495</v>
      </c>
      <c r="D8" s="231"/>
      <c r="E8" s="189">
        <v>0</v>
      </c>
      <c r="F8" s="231"/>
      <c r="G8" s="231">
        <f>86203234</f>
        <v>86203234</v>
      </c>
      <c r="H8" s="231"/>
      <c r="I8" s="271">
        <f>2395769</f>
        <v>2395769</v>
      </c>
      <c r="J8" s="231"/>
      <c r="K8" s="232">
        <f aca="true" t="shared" si="0" ref="K8:K21">SUM(C8:I8)</f>
        <v>89648498</v>
      </c>
      <c r="L8" s="231"/>
      <c r="M8" s="269">
        <f>125100</f>
        <v>125100</v>
      </c>
      <c r="N8" s="231"/>
      <c r="O8" s="189">
        <v>0</v>
      </c>
      <c r="P8" s="231"/>
      <c r="Q8" s="231">
        <f>36569880</f>
        <v>36569880</v>
      </c>
      <c r="R8" s="231"/>
      <c r="S8" s="271">
        <f>636672</f>
        <v>636672</v>
      </c>
      <c r="T8" s="231"/>
      <c r="U8" s="232">
        <f aca="true" t="shared" si="1" ref="U8:U21">SUM(M8:S8)</f>
        <v>37331652</v>
      </c>
      <c r="V8" s="231"/>
      <c r="W8" s="269">
        <f>+C8-M8</f>
        <v>924395</v>
      </c>
      <c r="X8" s="231"/>
      <c r="Y8" s="189">
        <f>+E8-O8</f>
        <v>0</v>
      </c>
      <c r="Z8" s="231"/>
      <c r="AA8" s="271">
        <f>+G8-Q8</f>
        <v>49633354</v>
      </c>
      <c r="AB8" s="231"/>
      <c r="AC8" s="271">
        <f>+I8-S8</f>
        <v>1759097</v>
      </c>
      <c r="AD8" s="231"/>
      <c r="AE8" s="232">
        <f>SUM(W8:AC8)</f>
        <v>52316846</v>
      </c>
      <c r="AF8" s="219"/>
      <c r="AG8" s="251">
        <f>+W8-M8</f>
        <v>799295</v>
      </c>
      <c r="AH8" s="252"/>
      <c r="AI8" s="252">
        <f>+Y8-O8</f>
        <v>0</v>
      </c>
      <c r="AJ8" s="252"/>
      <c r="AK8" s="252">
        <f>+AA8-Q8</f>
        <v>13063474</v>
      </c>
      <c r="AL8" s="252"/>
      <c r="AM8" s="252">
        <f>+AC8-S8</f>
        <v>1122425</v>
      </c>
      <c r="AN8" s="252"/>
      <c r="AO8" s="253">
        <f>SUM(AG8:AM8)</f>
        <v>14985194</v>
      </c>
      <c r="AP8" s="254"/>
      <c r="AQ8" s="255">
        <f>+AO8/U8</f>
        <v>0.4014072026600912</v>
      </c>
      <c r="AR8" s="126"/>
    </row>
    <row r="9" spans="1:44" ht="16.5" thickBot="1">
      <c r="A9" s="127"/>
      <c r="B9" s="110"/>
      <c r="C9" s="280">
        <f>SUM(C7:C8)</f>
        <v>1230669310</v>
      </c>
      <c r="D9" s="281"/>
      <c r="E9" s="282">
        <f>SUM(E7:E8)</f>
        <v>181506298</v>
      </c>
      <c r="F9" s="281"/>
      <c r="G9" s="282">
        <f>SUM(G7:G8)</f>
        <v>86203234</v>
      </c>
      <c r="H9" s="281"/>
      <c r="I9" s="283">
        <f>SUM(I7:I8)</f>
        <v>2411804</v>
      </c>
      <c r="J9" s="281"/>
      <c r="K9" s="284">
        <f>SUM(K7:K8)-0.01</f>
        <v>1500790645.99</v>
      </c>
      <c r="L9" s="281"/>
      <c r="M9" s="280">
        <f>SUM(M7:M8)</f>
        <v>590607582</v>
      </c>
      <c r="N9" s="281"/>
      <c r="O9" s="282">
        <f>SUM(O7:O8)</f>
        <v>91016765</v>
      </c>
      <c r="P9" s="281"/>
      <c r="Q9" s="282">
        <f>SUM(Q7:Q8)</f>
        <v>36569880</v>
      </c>
      <c r="R9" s="281"/>
      <c r="S9" s="283">
        <f>SUM(S7:S8)</f>
        <v>652707</v>
      </c>
      <c r="T9" s="281"/>
      <c r="U9" s="284">
        <f>SUM(U7:U8)</f>
        <v>718846934</v>
      </c>
      <c r="V9" s="281"/>
      <c r="W9" s="280">
        <f>SUM(W7:W8)</f>
        <v>640061728</v>
      </c>
      <c r="X9" s="281"/>
      <c r="Y9" s="282">
        <f>SUM(Y7:Y8)</f>
        <v>90489533</v>
      </c>
      <c r="Z9" s="281"/>
      <c r="AA9" s="282">
        <f>SUM(AA7:AA8)</f>
        <v>49633354</v>
      </c>
      <c r="AB9" s="281"/>
      <c r="AC9" s="283">
        <f>SUM(AC7:AC8)</f>
        <v>1759097</v>
      </c>
      <c r="AD9" s="281"/>
      <c r="AE9" s="284">
        <f>SUM(AE7:AE8)</f>
        <v>781943712</v>
      </c>
      <c r="AF9" s="219"/>
      <c r="AG9" s="256">
        <f>SUM(AG7:AG8)</f>
        <v>49454146</v>
      </c>
      <c r="AH9" s="252"/>
      <c r="AI9" s="257">
        <f>SUM(AI7:AI8)</f>
        <v>-527232</v>
      </c>
      <c r="AJ9" s="252"/>
      <c r="AK9" s="257">
        <f>SUM(AK7:AK8)</f>
        <v>13063474</v>
      </c>
      <c r="AL9" s="252"/>
      <c r="AM9" s="257">
        <f>SUM(AM7:AM8)</f>
        <v>1106390</v>
      </c>
      <c r="AN9" s="252"/>
      <c r="AO9" s="258">
        <f>SUM(AO7:AO8)</f>
        <v>63096778</v>
      </c>
      <c r="AP9" s="254"/>
      <c r="AQ9" s="259">
        <f>+AO9/U9</f>
        <v>0.0877749838187388</v>
      </c>
      <c r="AR9" s="126"/>
    </row>
    <row r="10" spans="1:44" ht="16.5" thickTop="1">
      <c r="A10" s="127"/>
      <c r="B10" s="110"/>
      <c r="C10" s="230"/>
      <c r="D10" s="231"/>
      <c r="E10" s="231"/>
      <c r="F10" s="231"/>
      <c r="G10" s="231"/>
      <c r="H10" s="231"/>
      <c r="I10" s="231"/>
      <c r="J10" s="231"/>
      <c r="K10" s="232"/>
      <c r="L10" s="231"/>
      <c r="M10" s="230"/>
      <c r="N10" s="231"/>
      <c r="O10" s="231"/>
      <c r="P10" s="231"/>
      <c r="Q10" s="231"/>
      <c r="R10" s="231"/>
      <c r="S10" s="231"/>
      <c r="T10" s="231"/>
      <c r="U10" s="232"/>
      <c r="V10" s="231"/>
      <c r="W10" s="230"/>
      <c r="X10" s="231"/>
      <c r="Y10" s="231"/>
      <c r="Z10" s="231"/>
      <c r="AA10" s="231"/>
      <c r="AB10" s="231"/>
      <c r="AC10" s="231"/>
      <c r="AD10" s="231"/>
      <c r="AE10" s="232"/>
      <c r="AF10" s="219"/>
      <c r="AG10" s="251"/>
      <c r="AH10" s="252"/>
      <c r="AI10" s="252"/>
      <c r="AJ10" s="252"/>
      <c r="AK10" s="252"/>
      <c r="AL10" s="252"/>
      <c r="AM10" s="252"/>
      <c r="AN10" s="252"/>
      <c r="AO10" s="253"/>
      <c r="AP10" s="254"/>
      <c r="AQ10" s="255"/>
      <c r="AR10" s="126"/>
    </row>
    <row r="11" spans="1:44" ht="15.75">
      <c r="A11" s="127" t="s">
        <v>106</v>
      </c>
      <c r="B11" s="110"/>
      <c r="C11" s="230">
        <f>(1244856897-1229619815-1049495+169974)</f>
        <v>14357561</v>
      </c>
      <c r="D11" s="231"/>
      <c r="E11" s="271">
        <f>(182473891-181506298-44107)</f>
        <v>923486</v>
      </c>
      <c r="F11" s="231"/>
      <c r="G11" s="271">
        <f>(115076924-86203234-21354403)</f>
        <v>7519287</v>
      </c>
      <c r="H11" s="231"/>
      <c r="I11" s="231">
        <f>(15320987-16035-2395769-1126-13885)</f>
        <v>12894172</v>
      </c>
      <c r="J11" s="231"/>
      <c r="K11" s="232">
        <f t="shared" si="0"/>
        <v>35694506</v>
      </c>
      <c r="L11" s="231"/>
      <c r="M11" s="269">
        <f>(8923640+198642+3410)</f>
        <v>9125692</v>
      </c>
      <c r="N11" s="271"/>
      <c r="O11" s="271">
        <f>326704</f>
        <v>326704</v>
      </c>
      <c r="P11" s="271"/>
      <c r="Q11" s="271">
        <f>3070774</f>
        <v>3070774</v>
      </c>
      <c r="R11" s="271"/>
      <c r="S11" s="271">
        <f>(2229891+4810575)</f>
        <v>7040466</v>
      </c>
      <c r="T11" s="231"/>
      <c r="U11" s="232">
        <f t="shared" si="1"/>
        <v>19563636</v>
      </c>
      <c r="V11" s="231"/>
      <c r="W11" s="269">
        <f>+C11-M11</f>
        <v>5231869</v>
      </c>
      <c r="X11" s="271"/>
      <c r="Y11" s="271">
        <f>+E11-O11</f>
        <v>596782</v>
      </c>
      <c r="Z11" s="271"/>
      <c r="AA11" s="271">
        <f>+G11-Q11</f>
        <v>4448513</v>
      </c>
      <c r="AB11" s="271"/>
      <c r="AC11" s="271">
        <f>+I11-S11</f>
        <v>5853706</v>
      </c>
      <c r="AD11" s="231"/>
      <c r="AE11" s="232">
        <f>SUM(W11:AC11)</f>
        <v>16130870</v>
      </c>
      <c r="AF11" s="219"/>
      <c r="AG11" s="251">
        <f>+W11-M11</f>
        <v>-3893823</v>
      </c>
      <c r="AH11" s="252"/>
      <c r="AI11" s="252">
        <f>+Y11-O11</f>
        <v>270078</v>
      </c>
      <c r="AJ11" s="252"/>
      <c r="AK11" s="252">
        <f>+AA11-Q11</f>
        <v>1377739</v>
      </c>
      <c r="AL11" s="252"/>
      <c r="AM11" s="252">
        <f>+AC11-S11</f>
        <v>-1186760</v>
      </c>
      <c r="AN11" s="252"/>
      <c r="AO11" s="253">
        <f>SUM(AG11:AM11)</f>
        <v>-3432766</v>
      </c>
      <c r="AP11" s="254"/>
      <c r="AQ11" s="255">
        <f>+AO11/U11</f>
        <v>-0.17546666683023543</v>
      </c>
      <c r="AR11" s="126"/>
    </row>
    <row r="12" spans="1:44" ht="15.75">
      <c r="A12" s="127" t="s">
        <v>107</v>
      </c>
      <c r="B12" s="110"/>
      <c r="C12" s="188">
        <v>0</v>
      </c>
      <c r="D12" s="231"/>
      <c r="E12" s="189">
        <v>0</v>
      </c>
      <c r="F12" s="231"/>
      <c r="G12" s="231">
        <f>21354403</f>
        <v>21354403</v>
      </c>
      <c r="H12" s="231"/>
      <c r="I12" s="270">
        <f>1126</f>
        <v>1126</v>
      </c>
      <c r="J12" s="231"/>
      <c r="K12" s="232">
        <f t="shared" si="0"/>
        <v>21355529</v>
      </c>
      <c r="L12" s="231"/>
      <c r="M12" s="188">
        <v>0</v>
      </c>
      <c r="N12" s="231"/>
      <c r="O12" s="189">
        <v>0</v>
      </c>
      <c r="P12" s="231"/>
      <c r="Q12" s="271">
        <f>2875165</f>
        <v>2875165</v>
      </c>
      <c r="R12" s="231"/>
      <c r="S12" s="115">
        <f>560</f>
        <v>560</v>
      </c>
      <c r="T12" s="231"/>
      <c r="U12" s="273">
        <f t="shared" si="1"/>
        <v>2875725</v>
      </c>
      <c r="V12" s="231"/>
      <c r="W12" s="188">
        <f>+C12-M12</f>
        <v>0</v>
      </c>
      <c r="X12" s="189"/>
      <c r="Y12" s="189">
        <f>+E12-O12</f>
        <v>0</v>
      </c>
      <c r="Z12" s="231"/>
      <c r="AA12" s="231">
        <f>+G12-Q12</f>
        <v>18479238</v>
      </c>
      <c r="AB12" s="231"/>
      <c r="AC12" s="115">
        <f>+I12-S12</f>
        <v>566</v>
      </c>
      <c r="AD12" s="231"/>
      <c r="AE12" s="232">
        <f>SUM(W12:AC12)</f>
        <v>18479804</v>
      </c>
      <c r="AF12" s="219"/>
      <c r="AG12" s="251">
        <f>+W12-M12</f>
        <v>0</v>
      </c>
      <c r="AH12" s="252"/>
      <c r="AI12" s="252">
        <f>+Y12-O12</f>
        <v>0</v>
      </c>
      <c r="AJ12" s="252"/>
      <c r="AK12" s="252">
        <f>+AA12-Q12</f>
        <v>15604073</v>
      </c>
      <c r="AL12" s="252"/>
      <c r="AM12" s="252">
        <f>+AC12-S12</f>
        <v>6</v>
      </c>
      <c r="AN12" s="252"/>
      <c r="AO12" s="253">
        <f>SUM(AG12:AM12)</f>
        <v>15604079</v>
      </c>
      <c r="AP12" s="254"/>
      <c r="AQ12" s="255">
        <f>+AO12/U12</f>
        <v>5.426137408827339</v>
      </c>
      <c r="AR12" s="126"/>
    </row>
    <row r="13" spans="1:44" ht="16.5" thickBot="1">
      <c r="A13" s="130"/>
      <c r="B13" s="110"/>
      <c r="C13" s="280">
        <f>SUM(C11:C12)</f>
        <v>14357561</v>
      </c>
      <c r="D13" s="281"/>
      <c r="E13" s="283">
        <f>SUM(E11:E12)</f>
        <v>923486</v>
      </c>
      <c r="F13" s="281"/>
      <c r="G13" s="282">
        <f>SUM(G11:G12)</f>
        <v>28873690</v>
      </c>
      <c r="H13" s="281"/>
      <c r="I13" s="282">
        <f>SUM(I11:I12)</f>
        <v>12895298</v>
      </c>
      <c r="J13" s="281"/>
      <c r="K13" s="284">
        <f>SUM(K11:K12)</f>
        <v>57050035</v>
      </c>
      <c r="L13" s="281"/>
      <c r="M13" s="285">
        <f>SUM(M11:M12)</f>
        <v>9125692</v>
      </c>
      <c r="N13" s="281"/>
      <c r="O13" s="283">
        <f>SUM(O11:O12)</f>
        <v>326704</v>
      </c>
      <c r="P13" s="281"/>
      <c r="Q13" s="283">
        <f>SUM(Q11:Q12)</f>
        <v>5945939</v>
      </c>
      <c r="R13" s="281"/>
      <c r="S13" s="283">
        <f>SUM(S11:S12)</f>
        <v>7041026</v>
      </c>
      <c r="T13" s="281"/>
      <c r="U13" s="284">
        <f>SUM(U11:U12)</f>
        <v>22439361</v>
      </c>
      <c r="V13" s="281"/>
      <c r="W13" s="285">
        <f>SUM(W11:W12)</f>
        <v>5231869</v>
      </c>
      <c r="X13" s="281"/>
      <c r="Y13" s="283">
        <f>SUM(Y11:Y12)</f>
        <v>596782</v>
      </c>
      <c r="Z13" s="281"/>
      <c r="AA13" s="282">
        <f>SUM(AA11:AA12)</f>
        <v>22927751</v>
      </c>
      <c r="AB13" s="281"/>
      <c r="AC13" s="283">
        <f>SUM(AC11:AC12)</f>
        <v>5854272</v>
      </c>
      <c r="AD13" s="281"/>
      <c r="AE13" s="284">
        <f>SUM(AE11:AE12)+0.01</f>
        <v>34610674.01</v>
      </c>
      <c r="AF13" s="219"/>
      <c r="AG13" s="256">
        <f>SUM(AG11:AG12)</f>
        <v>-3893823</v>
      </c>
      <c r="AH13" s="252"/>
      <c r="AI13" s="257">
        <f>SUM(AI11:AI12)</f>
        <v>270078</v>
      </c>
      <c r="AJ13" s="252"/>
      <c r="AK13" s="257">
        <f>SUM(AK11:AK12)</f>
        <v>16981812</v>
      </c>
      <c r="AL13" s="252"/>
      <c r="AM13" s="257">
        <f>SUM(AM11:AM12)</f>
        <v>-1186754</v>
      </c>
      <c r="AN13" s="252"/>
      <c r="AO13" s="260">
        <f>SUM(AO11:AO12)</f>
        <v>12171313</v>
      </c>
      <c r="AP13" s="254"/>
      <c r="AQ13" s="259">
        <f>+AO13/U13</f>
        <v>0.5424090730569378</v>
      </c>
      <c r="AR13" s="126"/>
    </row>
    <row r="14" spans="1:44" ht="16.5" thickTop="1">
      <c r="A14" s="130"/>
      <c r="B14" s="110"/>
      <c r="C14" s="230"/>
      <c r="D14" s="231"/>
      <c r="E14" s="231"/>
      <c r="F14" s="231"/>
      <c r="G14" s="231"/>
      <c r="H14" s="231"/>
      <c r="I14" s="231"/>
      <c r="J14" s="231"/>
      <c r="K14" s="232"/>
      <c r="L14" s="231"/>
      <c r="M14" s="230"/>
      <c r="N14" s="231"/>
      <c r="O14" s="231"/>
      <c r="P14" s="231"/>
      <c r="Q14" s="231"/>
      <c r="R14" s="231"/>
      <c r="S14" s="231"/>
      <c r="T14" s="231"/>
      <c r="U14" s="232"/>
      <c r="V14" s="231"/>
      <c r="W14" s="230"/>
      <c r="X14" s="231"/>
      <c r="Y14" s="231"/>
      <c r="Z14" s="231"/>
      <c r="AA14" s="231"/>
      <c r="AB14" s="231"/>
      <c r="AC14" s="231"/>
      <c r="AD14" s="231"/>
      <c r="AE14" s="232"/>
      <c r="AF14" s="219"/>
      <c r="AG14" s="251"/>
      <c r="AH14" s="252"/>
      <c r="AI14" s="252"/>
      <c r="AJ14" s="252"/>
      <c r="AK14" s="252"/>
      <c r="AL14" s="252"/>
      <c r="AM14" s="252"/>
      <c r="AN14" s="252"/>
      <c r="AO14" s="253"/>
      <c r="AP14" s="254"/>
      <c r="AQ14" s="255"/>
      <c r="AR14" s="126"/>
    </row>
    <row r="15" spans="1:44" ht="16.5" thickBot="1">
      <c r="A15" s="130"/>
      <c r="B15" s="110"/>
      <c r="C15" s="235">
        <f>+C9+C13</f>
        <v>1245026871</v>
      </c>
      <c r="D15" s="281"/>
      <c r="E15" s="236">
        <f>+E9+E13</f>
        <v>182429784</v>
      </c>
      <c r="F15" s="281"/>
      <c r="G15" s="236">
        <f>+G9+G13</f>
        <v>115076924</v>
      </c>
      <c r="H15" s="281"/>
      <c r="I15" s="236">
        <f>+I9+I13</f>
        <v>15307102</v>
      </c>
      <c r="J15" s="281"/>
      <c r="K15" s="237">
        <f>+K9+K13+0.01</f>
        <v>1557840681</v>
      </c>
      <c r="L15" s="281"/>
      <c r="M15" s="235">
        <f>+M9+M13</f>
        <v>599733274</v>
      </c>
      <c r="N15" s="281"/>
      <c r="O15" s="236">
        <f>+O9+O13</f>
        <v>91343469</v>
      </c>
      <c r="P15" s="281"/>
      <c r="Q15" s="236">
        <f>+Q9+Q13</f>
        <v>42515819</v>
      </c>
      <c r="R15" s="281"/>
      <c r="S15" s="236">
        <f>+S9+S13</f>
        <v>7693733</v>
      </c>
      <c r="T15" s="281"/>
      <c r="U15" s="237">
        <f>+U9+U13-0.01</f>
        <v>741286294.99</v>
      </c>
      <c r="V15" s="281"/>
      <c r="W15" s="235">
        <f>+W9+W13</f>
        <v>645293597</v>
      </c>
      <c r="X15" s="281"/>
      <c r="Y15" s="236">
        <f>+Y9+Y13</f>
        <v>91086315</v>
      </c>
      <c r="Z15" s="281"/>
      <c r="AA15" s="236">
        <f>+AA9+AA13</f>
        <v>72561105</v>
      </c>
      <c r="AB15" s="281"/>
      <c r="AC15" s="278">
        <f>+AC9+AC13</f>
        <v>7613369</v>
      </c>
      <c r="AD15" s="281"/>
      <c r="AE15" s="237">
        <f>+AE9+AE13-0.01</f>
        <v>816554386</v>
      </c>
      <c r="AF15" s="219"/>
      <c r="AG15" s="261">
        <f>+AG9+AG13</f>
        <v>45560323</v>
      </c>
      <c r="AH15" s="252"/>
      <c r="AI15" s="262">
        <f>+AI9+AI13</f>
        <v>-257154</v>
      </c>
      <c r="AJ15" s="252"/>
      <c r="AK15" s="262">
        <f>+AK9+AK13</f>
        <v>30045286</v>
      </c>
      <c r="AL15" s="252"/>
      <c r="AM15" s="262">
        <f>+AM9+AM13</f>
        <v>-80364</v>
      </c>
      <c r="AN15" s="252"/>
      <c r="AO15" s="258">
        <f>+AO9+AO13</f>
        <v>75268091</v>
      </c>
      <c r="AP15" s="254"/>
      <c r="AQ15" s="259">
        <f>+AO15/U15</f>
        <v>0.10153714092476965</v>
      </c>
      <c r="AR15" s="126"/>
    </row>
    <row r="16" spans="1:44" ht="16.5" thickTop="1">
      <c r="A16" s="229" t="s">
        <v>148</v>
      </c>
      <c r="B16" s="110"/>
      <c r="C16" s="230"/>
      <c r="D16" s="231"/>
      <c r="E16" s="231"/>
      <c r="F16" s="231"/>
      <c r="G16" s="231"/>
      <c r="H16" s="231"/>
      <c r="I16" s="231"/>
      <c r="J16" s="231"/>
      <c r="K16" s="232"/>
      <c r="L16" s="231"/>
      <c r="M16" s="230"/>
      <c r="N16" s="231"/>
      <c r="O16" s="231"/>
      <c r="P16" s="231"/>
      <c r="Q16" s="231"/>
      <c r="R16" s="231"/>
      <c r="S16" s="231"/>
      <c r="T16" s="231"/>
      <c r="U16" s="232"/>
      <c r="V16" s="231"/>
      <c r="W16" s="230"/>
      <c r="X16" s="231"/>
      <c r="Y16" s="231"/>
      <c r="Z16" s="231"/>
      <c r="AA16" s="231"/>
      <c r="AB16" s="231"/>
      <c r="AC16" s="231"/>
      <c r="AD16" s="231"/>
      <c r="AE16" s="232"/>
      <c r="AF16" s="219"/>
      <c r="AG16" s="251"/>
      <c r="AH16" s="252"/>
      <c r="AI16" s="252"/>
      <c r="AJ16" s="252"/>
      <c r="AK16" s="252"/>
      <c r="AL16" s="252"/>
      <c r="AM16" s="252"/>
      <c r="AN16" s="252"/>
      <c r="AO16" s="253"/>
      <c r="AP16" s="254"/>
      <c r="AQ16" s="255"/>
      <c r="AR16" s="126"/>
    </row>
    <row r="17" spans="1:44" ht="15.75">
      <c r="A17" s="286" t="s">
        <v>108</v>
      </c>
      <c r="B17" s="110"/>
      <c r="C17" s="230">
        <f>(60937562)</f>
        <v>60937562</v>
      </c>
      <c r="D17" s="231"/>
      <c r="E17" s="271">
        <f>-2511253</f>
        <v>-2511253</v>
      </c>
      <c r="F17" s="231"/>
      <c r="G17" s="189">
        <v>0</v>
      </c>
      <c r="H17" s="231"/>
      <c r="I17" s="271">
        <f>(778196)</f>
        <v>778196</v>
      </c>
      <c r="J17" s="231"/>
      <c r="K17" s="232">
        <f t="shared" si="0"/>
        <v>59204505</v>
      </c>
      <c r="L17" s="231"/>
      <c r="M17" s="230">
        <f>38066399</f>
        <v>38066399</v>
      </c>
      <c r="N17" s="231"/>
      <c r="O17" s="271">
        <f>1109581</f>
        <v>1109581</v>
      </c>
      <c r="P17" s="231"/>
      <c r="Q17" s="189">
        <v>0</v>
      </c>
      <c r="R17" s="231"/>
      <c r="S17" s="270">
        <f>9694</f>
        <v>9694</v>
      </c>
      <c r="T17" s="231"/>
      <c r="U17" s="232">
        <f t="shared" si="1"/>
        <v>39185674</v>
      </c>
      <c r="V17" s="231"/>
      <c r="W17" s="230">
        <f>+C17-M17</f>
        <v>22871163</v>
      </c>
      <c r="X17" s="231"/>
      <c r="Y17" s="271">
        <f>+E17-O17</f>
        <v>-3620834</v>
      </c>
      <c r="Z17" s="231"/>
      <c r="AA17" s="189">
        <f>+G17-Q17</f>
        <v>0</v>
      </c>
      <c r="AB17" s="231"/>
      <c r="AC17" s="271">
        <f>+I17-S17</f>
        <v>768502</v>
      </c>
      <c r="AD17" s="231"/>
      <c r="AE17" s="232">
        <f>SUM(W17:AC17)</f>
        <v>20018831</v>
      </c>
      <c r="AF17" s="219"/>
      <c r="AG17" s="251">
        <f>+W17-M17</f>
        <v>-15195236</v>
      </c>
      <c r="AH17" s="252"/>
      <c r="AI17" s="252">
        <f>+Y17-O17</f>
        <v>-4730415</v>
      </c>
      <c r="AJ17" s="252"/>
      <c r="AK17" s="252">
        <f>+AA17-Q17</f>
        <v>0</v>
      </c>
      <c r="AL17" s="252"/>
      <c r="AM17" s="252">
        <f>+AC17-S17</f>
        <v>758808</v>
      </c>
      <c r="AN17" s="252"/>
      <c r="AO17" s="253">
        <f>SUM(AG17:AM17)</f>
        <v>-19166843</v>
      </c>
      <c r="AP17" s="254"/>
      <c r="AQ17" s="255">
        <f aca="true" t="shared" si="2" ref="AQ17:AQ22">+AO17/U17</f>
        <v>-0.48912883315468814</v>
      </c>
      <c r="AR17" s="126"/>
    </row>
    <row r="18" spans="1:44" ht="15.75">
      <c r="A18" s="127" t="s">
        <v>109</v>
      </c>
      <c r="B18" s="110"/>
      <c r="C18" s="230">
        <f>(629921293)</f>
        <v>629921293</v>
      </c>
      <c r="D18" s="231"/>
      <c r="E18" s="231">
        <f>(35544758)</f>
        <v>35544758</v>
      </c>
      <c r="F18" s="231"/>
      <c r="G18" s="189">
        <v>0</v>
      </c>
      <c r="H18" s="231"/>
      <c r="I18" s="271">
        <f>(991923)</f>
        <v>991923</v>
      </c>
      <c r="J18" s="231"/>
      <c r="K18" s="232">
        <f t="shared" si="0"/>
        <v>666457974</v>
      </c>
      <c r="L18" s="231"/>
      <c r="M18" s="230">
        <f>301561672</f>
        <v>301561672</v>
      </c>
      <c r="N18" s="231"/>
      <c r="O18" s="231">
        <f>16987455</f>
        <v>16987455</v>
      </c>
      <c r="P18" s="231"/>
      <c r="Q18" s="189">
        <v>0</v>
      </c>
      <c r="R18" s="231"/>
      <c r="S18" s="189">
        <v>0</v>
      </c>
      <c r="T18" s="231"/>
      <c r="U18" s="232">
        <f t="shared" si="1"/>
        <v>318549127</v>
      </c>
      <c r="V18" s="231"/>
      <c r="W18" s="230">
        <f>+C18-M18</f>
        <v>328359621</v>
      </c>
      <c r="X18" s="231"/>
      <c r="Y18" s="231">
        <f>+E18-O18</f>
        <v>18557303</v>
      </c>
      <c r="Z18" s="231"/>
      <c r="AA18" s="189">
        <f>+G18-Q18</f>
        <v>0</v>
      </c>
      <c r="AB18" s="231"/>
      <c r="AC18" s="271">
        <f>+I18-S18</f>
        <v>991923</v>
      </c>
      <c r="AD18" s="231"/>
      <c r="AE18" s="232">
        <f>SUM(W18:AC18)</f>
        <v>347908847</v>
      </c>
      <c r="AF18" s="219"/>
      <c r="AG18" s="251">
        <f>+W18-M18</f>
        <v>26797949</v>
      </c>
      <c r="AH18" s="252"/>
      <c r="AI18" s="252">
        <f>+Y18-O18</f>
        <v>1569848</v>
      </c>
      <c r="AJ18" s="252"/>
      <c r="AK18" s="252">
        <f>+AA18-Q18</f>
        <v>0</v>
      </c>
      <c r="AL18" s="252"/>
      <c r="AM18" s="252">
        <f>+AC18-S18</f>
        <v>991923</v>
      </c>
      <c r="AN18" s="252"/>
      <c r="AO18" s="253">
        <f>SUM(AG18:AM18)</f>
        <v>29359720</v>
      </c>
      <c r="AP18" s="254"/>
      <c r="AQ18" s="255">
        <f t="shared" si="2"/>
        <v>0.09216700819902106</v>
      </c>
      <c r="AR18" s="126"/>
    </row>
    <row r="19" spans="1:44" ht="15.75">
      <c r="A19" s="127" t="s">
        <v>110</v>
      </c>
      <c r="B19" s="110"/>
      <c r="C19" s="274">
        <f>-(30395)</f>
        <v>-30395</v>
      </c>
      <c r="D19" s="231"/>
      <c r="E19" s="271">
        <f>7067800</f>
        <v>7067800</v>
      </c>
      <c r="F19" s="231"/>
      <c r="G19" s="189">
        <v>0</v>
      </c>
      <c r="H19" s="231"/>
      <c r="I19" s="189">
        <v>0</v>
      </c>
      <c r="J19" s="231"/>
      <c r="K19" s="273">
        <f>SUM(C19:I19)</f>
        <v>7037405</v>
      </c>
      <c r="L19" s="231"/>
      <c r="M19" s="188">
        <v>0</v>
      </c>
      <c r="N19" s="231"/>
      <c r="O19" s="271">
        <f>4152605</f>
        <v>4152605</v>
      </c>
      <c r="P19" s="231"/>
      <c r="Q19" s="189">
        <v>0</v>
      </c>
      <c r="R19" s="231"/>
      <c r="S19" s="189">
        <v>0</v>
      </c>
      <c r="T19" s="231"/>
      <c r="U19" s="273">
        <f>SUM(M19:S19)</f>
        <v>4152605</v>
      </c>
      <c r="V19" s="231"/>
      <c r="W19" s="274">
        <f>+C19-M19</f>
        <v>-30395</v>
      </c>
      <c r="X19" s="231"/>
      <c r="Y19" s="271">
        <f>+E19-O19</f>
        <v>2915195</v>
      </c>
      <c r="Z19" s="231"/>
      <c r="AA19" s="189">
        <f>+G19-Q19</f>
        <v>0</v>
      </c>
      <c r="AB19" s="231"/>
      <c r="AC19" s="189">
        <f>+I19-S19</f>
        <v>0</v>
      </c>
      <c r="AD19" s="231"/>
      <c r="AE19" s="273">
        <f>SUM(W19:AC19)</f>
        <v>2884800</v>
      </c>
      <c r="AF19" s="219"/>
      <c r="AG19" s="251">
        <f>+W19-M19</f>
        <v>-30395</v>
      </c>
      <c r="AH19" s="252"/>
      <c r="AI19" s="252">
        <f>+Y19-O19</f>
        <v>-1237410</v>
      </c>
      <c r="AJ19" s="252"/>
      <c r="AK19" s="252">
        <f>+AA19-Q19</f>
        <v>0</v>
      </c>
      <c r="AL19" s="252"/>
      <c r="AM19" s="252">
        <f>+AC19-S19</f>
        <v>0</v>
      </c>
      <c r="AN19" s="252"/>
      <c r="AO19" s="253">
        <f>SUM(AG19:AM19)</f>
        <v>-1267805</v>
      </c>
      <c r="AP19" s="254"/>
      <c r="AQ19" s="255">
        <f t="shared" si="2"/>
        <v>-0.3053035383813293</v>
      </c>
      <c r="AR19" s="126"/>
    </row>
    <row r="20" spans="1:44" ht="15.75">
      <c r="A20" s="127" t="s">
        <v>111</v>
      </c>
      <c r="B20" s="110"/>
      <c r="C20" s="230">
        <f>(134243483)</f>
        <v>134243483</v>
      </c>
      <c r="D20" s="231"/>
      <c r="E20" s="231">
        <f>40819363</f>
        <v>40819363</v>
      </c>
      <c r="F20" s="231"/>
      <c r="G20" s="231">
        <f>(40715187)</f>
        <v>40715187</v>
      </c>
      <c r="H20" s="231"/>
      <c r="I20" s="271">
        <f>+(6194245)</f>
        <v>6194245</v>
      </c>
      <c r="J20" s="231"/>
      <c r="K20" s="232">
        <f t="shared" si="0"/>
        <v>221972278</v>
      </c>
      <c r="L20" s="231"/>
      <c r="M20" s="230">
        <f>62353814</f>
        <v>62353814</v>
      </c>
      <c r="N20" s="231"/>
      <c r="O20" s="231">
        <f>19824627</f>
        <v>19824627</v>
      </c>
      <c r="P20" s="231"/>
      <c r="Q20" s="231">
        <f>18654068</f>
        <v>18654068</v>
      </c>
      <c r="R20" s="231"/>
      <c r="S20" s="271">
        <f>3190868</f>
        <v>3190868</v>
      </c>
      <c r="T20" s="231"/>
      <c r="U20" s="232">
        <f t="shared" si="1"/>
        <v>104023377</v>
      </c>
      <c r="V20" s="231"/>
      <c r="W20" s="230">
        <f>+C20-M20</f>
        <v>71889669</v>
      </c>
      <c r="X20" s="231"/>
      <c r="Y20" s="231">
        <f>+E20-O20</f>
        <v>20994736</v>
      </c>
      <c r="Z20" s="231"/>
      <c r="AA20" s="231">
        <f>+G20-Q20</f>
        <v>22061119</v>
      </c>
      <c r="AB20" s="231"/>
      <c r="AC20" s="271">
        <f>+I20-S20</f>
        <v>3003377</v>
      </c>
      <c r="AD20" s="231"/>
      <c r="AE20" s="232">
        <f>SUM(W20:AC20)</f>
        <v>117948901</v>
      </c>
      <c r="AF20" s="219"/>
      <c r="AG20" s="251">
        <f>+W20-M20</f>
        <v>9535855</v>
      </c>
      <c r="AH20" s="252"/>
      <c r="AI20" s="252">
        <f>+Y20-O20</f>
        <v>1170109</v>
      </c>
      <c r="AJ20" s="252"/>
      <c r="AK20" s="252">
        <f>+AA20-Q20</f>
        <v>3407051</v>
      </c>
      <c r="AL20" s="252"/>
      <c r="AM20" s="252">
        <f>+AC20-S20</f>
        <v>-187491</v>
      </c>
      <c r="AN20" s="252"/>
      <c r="AO20" s="253">
        <f>SUM(AG20:AM20)</f>
        <v>13925524</v>
      </c>
      <c r="AP20" s="254"/>
      <c r="AQ20" s="255">
        <f t="shared" si="2"/>
        <v>0.13386917827134184</v>
      </c>
      <c r="AR20" s="126"/>
    </row>
    <row r="21" spans="1:44" ht="15.75">
      <c r="A21" s="127" t="s">
        <v>112</v>
      </c>
      <c r="B21" s="110"/>
      <c r="C21" s="230">
        <f>(1119046120+169974)-SUM(C17:C20)</f>
        <v>294144151</v>
      </c>
      <c r="D21" s="231"/>
      <c r="E21" s="231">
        <f>(165873695-44107)-SUM(E17:E20)</f>
        <v>84908920</v>
      </c>
      <c r="F21" s="231"/>
      <c r="G21" s="231">
        <f>(78492762)-SUM(G17:G20)</f>
        <v>37777575</v>
      </c>
      <c r="H21" s="231"/>
      <c r="I21" s="231">
        <f>(22586987-13885)-SUM(I17:I20)</f>
        <v>14608738</v>
      </c>
      <c r="J21" s="231"/>
      <c r="K21" s="232">
        <f t="shared" si="0"/>
        <v>431439384</v>
      </c>
      <c r="L21" s="231"/>
      <c r="M21" s="230">
        <f>(550086833)-SUM(M17:M20)</f>
        <v>148104948</v>
      </c>
      <c r="N21" s="231"/>
      <c r="O21" s="231">
        <f>(82874270)-SUM(O17:O20)</f>
        <v>40800002</v>
      </c>
      <c r="P21" s="231"/>
      <c r="Q21" s="231">
        <f>(32803485)-SUM(Q17:Q20)</f>
        <v>14149417</v>
      </c>
      <c r="R21" s="231"/>
      <c r="S21" s="271">
        <f>(7631177)-SUM(S17:S20)</f>
        <v>4430615</v>
      </c>
      <c r="T21" s="231"/>
      <c r="U21" s="232">
        <f t="shared" si="1"/>
        <v>207484982</v>
      </c>
      <c r="V21" s="231"/>
      <c r="W21" s="230">
        <f>+C21-M21</f>
        <v>146039203</v>
      </c>
      <c r="X21" s="231"/>
      <c r="Y21" s="231">
        <f>+E21-O21</f>
        <v>44108918</v>
      </c>
      <c r="Z21" s="231"/>
      <c r="AA21" s="231">
        <f>+G21-Q21</f>
        <v>23628158</v>
      </c>
      <c r="AB21" s="231"/>
      <c r="AC21" s="231">
        <f>+I21-S21</f>
        <v>10178123</v>
      </c>
      <c r="AD21" s="231"/>
      <c r="AE21" s="232">
        <f>SUM(W21:AC21)</f>
        <v>223954402</v>
      </c>
      <c r="AF21" s="219"/>
      <c r="AG21" s="251">
        <f>+W21-M21</f>
        <v>-2065745</v>
      </c>
      <c r="AH21" s="252"/>
      <c r="AI21" s="252">
        <f>+Y21-O21</f>
        <v>3308916</v>
      </c>
      <c r="AJ21" s="252"/>
      <c r="AK21" s="252">
        <f>+AA21-Q21</f>
        <v>9478741</v>
      </c>
      <c r="AL21" s="252"/>
      <c r="AM21" s="252">
        <f>+AC21-S21</f>
        <v>5747508</v>
      </c>
      <c r="AN21" s="252"/>
      <c r="AO21" s="253">
        <f>SUM(AG21:AM21)</f>
        <v>16469420</v>
      </c>
      <c r="AP21" s="254"/>
      <c r="AQ21" s="255">
        <f t="shared" si="2"/>
        <v>0.07937644373702189</v>
      </c>
      <c r="AR21" s="126"/>
    </row>
    <row r="22" spans="1:44" ht="16.5" thickBot="1">
      <c r="A22" s="130"/>
      <c r="B22" s="110"/>
      <c r="C22" s="280">
        <f>SUM(C17:C21)</f>
        <v>1119216094</v>
      </c>
      <c r="D22" s="281"/>
      <c r="E22" s="282">
        <f>SUM(E17:E21)</f>
        <v>165829588</v>
      </c>
      <c r="F22" s="281"/>
      <c r="G22" s="282">
        <f>SUM(G17:G21)</f>
        <v>78492762</v>
      </c>
      <c r="H22" s="281"/>
      <c r="I22" s="282">
        <f>SUM(I17:I21)</f>
        <v>22573102</v>
      </c>
      <c r="J22" s="281"/>
      <c r="K22" s="284">
        <f>SUM(K17:K21)</f>
        <v>1386111546</v>
      </c>
      <c r="L22" s="281"/>
      <c r="M22" s="280">
        <f>SUM(M17:M21)</f>
        <v>550086833</v>
      </c>
      <c r="N22" s="281"/>
      <c r="O22" s="282">
        <f>SUM(O17:O21)</f>
        <v>82874270</v>
      </c>
      <c r="P22" s="281"/>
      <c r="Q22" s="282">
        <f>SUM(Q17:Q21)</f>
        <v>32803485</v>
      </c>
      <c r="R22" s="281"/>
      <c r="S22" s="283">
        <f>SUM(S17:S21)</f>
        <v>7631177</v>
      </c>
      <c r="T22" s="281"/>
      <c r="U22" s="284">
        <f>SUM(U17:U21)</f>
        <v>673395765</v>
      </c>
      <c r="V22" s="281"/>
      <c r="W22" s="280">
        <f>SUM(W17:W21)</f>
        <v>569129261</v>
      </c>
      <c r="X22" s="281"/>
      <c r="Y22" s="282">
        <f>SUM(Y17:Y21)</f>
        <v>82955318</v>
      </c>
      <c r="Z22" s="281"/>
      <c r="AA22" s="282">
        <f>SUM(AA17:AA21)</f>
        <v>45689277</v>
      </c>
      <c r="AB22" s="281"/>
      <c r="AC22" s="282">
        <f>SUM(AC17:AC21)</f>
        <v>14941925</v>
      </c>
      <c r="AD22" s="281"/>
      <c r="AE22" s="284">
        <f>SUM(AE17:AE21)</f>
        <v>712715781</v>
      </c>
      <c r="AF22" s="219"/>
      <c r="AG22" s="256">
        <f>SUM(AG17:AG21)</f>
        <v>19042428</v>
      </c>
      <c r="AH22" s="252"/>
      <c r="AI22" s="257">
        <f>SUM(AI17:AI21)</f>
        <v>81048</v>
      </c>
      <c r="AJ22" s="252"/>
      <c r="AK22" s="257">
        <f>SUM(AK17:AK21)</f>
        <v>12885792</v>
      </c>
      <c r="AL22" s="252"/>
      <c r="AM22" s="257">
        <f>SUM(AM17:AM21)</f>
        <v>7310748</v>
      </c>
      <c r="AN22" s="252"/>
      <c r="AO22" s="260">
        <f>SUM(AO17:AO21)</f>
        <v>39320016</v>
      </c>
      <c r="AP22" s="254"/>
      <c r="AQ22" s="259">
        <f t="shared" si="2"/>
        <v>0.05839064936798348</v>
      </c>
      <c r="AR22" s="126"/>
    </row>
    <row r="23" spans="1:44" ht="16.5" thickTop="1">
      <c r="A23" s="130"/>
      <c r="B23" s="110"/>
      <c r="C23" s="230"/>
      <c r="D23" s="231"/>
      <c r="E23" s="231"/>
      <c r="F23" s="231"/>
      <c r="G23" s="231"/>
      <c r="H23" s="231"/>
      <c r="I23" s="231"/>
      <c r="J23" s="231"/>
      <c r="K23" s="232"/>
      <c r="L23" s="231"/>
      <c r="M23" s="230"/>
      <c r="N23" s="231"/>
      <c r="O23" s="231"/>
      <c r="P23" s="231"/>
      <c r="Q23" s="231"/>
      <c r="R23" s="231"/>
      <c r="S23" s="231"/>
      <c r="T23" s="231"/>
      <c r="U23" s="232"/>
      <c r="V23" s="231"/>
      <c r="W23" s="230"/>
      <c r="X23" s="231"/>
      <c r="Y23" s="231"/>
      <c r="Z23" s="231"/>
      <c r="AA23" s="231"/>
      <c r="AB23" s="231"/>
      <c r="AC23" s="231"/>
      <c r="AD23" s="231"/>
      <c r="AE23" s="232"/>
      <c r="AF23" s="219"/>
      <c r="AG23" s="251"/>
      <c r="AH23" s="252"/>
      <c r="AI23" s="252"/>
      <c r="AJ23" s="252"/>
      <c r="AK23" s="252"/>
      <c r="AL23" s="252"/>
      <c r="AM23" s="252"/>
      <c r="AN23" s="252"/>
      <c r="AO23" s="253"/>
      <c r="AP23" s="254"/>
      <c r="AQ23" s="255"/>
      <c r="AR23" s="126"/>
    </row>
    <row r="24" spans="1:44" ht="15.75">
      <c r="A24" s="130" t="s">
        <v>113</v>
      </c>
      <c r="B24" s="110"/>
      <c r="C24" s="280">
        <f>88944552</f>
        <v>88944552</v>
      </c>
      <c r="D24" s="281"/>
      <c r="E24" s="282">
        <f>22577200</f>
        <v>22577200</v>
      </c>
      <c r="F24" s="281"/>
      <c r="G24" s="282">
        <f>-(79819781)</f>
        <v>-79819781</v>
      </c>
      <c r="H24" s="281"/>
      <c r="I24" s="283">
        <f>(1912747)</f>
        <v>1912747</v>
      </c>
      <c r="J24" s="281"/>
      <c r="K24" s="284">
        <f aca="true" t="shared" si="3" ref="K24:K37">SUM(C24:I24)</f>
        <v>33614718</v>
      </c>
      <c r="L24" s="281"/>
      <c r="M24" s="280">
        <f>44848319</f>
        <v>44848319</v>
      </c>
      <c r="N24" s="281"/>
      <c r="O24" s="282">
        <f>11373403</f>
        <v>11373403</v>
      </c>
      <c r="P24" s="281"/>
      <c r="Q24" s="282">
        <f>-37458811</f>
        <v>-37458811</v>
      </c>
      <c r="R24" s="281"/>
      <c r="S24" s="283">
        <f>933693</f>
        <v>933693</v>
      </c>
      <c r="T24" s="281"/>
      <c r="U24" s="284">
        <f>SUM(M24:S24)</f>
        <v>19696604</v>
      </c>
      <c r="V24" s="281"/>
      <c r="W24" s="280">
        <f>+C24-M24</f>
        <v>44096233</v>
      </c>
      <c r="X24" s="281"/>
      <c r="Y24" s="282">
        <f>+E24-O24</f>
        <v>11203797</v>
      </c>
      <c r="Z24" s="281"/>
      <c r="AA24" s="282">
        <f>+G24-Q24</f>
        <v>-42360970</v>
      </c>
      <c r="AB24" s="281"/>
      <c r="AC24" s="283">
        <f>+I24-S24</f>
        <v>979054</v>
      </c>
      <c r="AD24" s="281"/>
      <c r="AE24" s="284">
        <f aca="true" t="shared" si="4" ref="AE24:AE37">SUM(W24:AC24)</f>
        <v>13918114</v>
      </c>
      <c r="AF24" s="219"/>
      <c r="AG24" s="256">
        <f>+W24-M24</f>
        <v>-752086</v>
      </c>
      <c r="AH24" s="252"/>
      <c r="AI24" s="257">
        <f>+Y24-O24</f>
        <v>-169606</v>
      </c>
      <c r="AJ24" s="252"/>
      <c r="AK24" s="257">
        <f>+AA24-Q24</f>
        <v>-4902159</v>
      </c>
      <c r="AL24" s="252"/>
      <c r="AM24" s="257">
        <f>+AC24-S24</f>
        <v>45361</v>
      </c>
      <c r="AN24" s="252"/>
      <c r="AO24" s="260">
        <f>SUM(AG24:AM24)</f>
        <v>-5778490</v>
      </c>
      <c r="AP24" s="254"/>
      <c r="AQ24" s="263">
        <f>+AO24/U24</f>
        <v>-0.29337493915194723</v>
      </c>
      <c r="AR24" s="126"/>
    </row>
    <row r="25" spans="1:44" ht="15.75">
      <c r="A25" s="130"/>
      <c r="B25" s="110"/>
      <c r="C25" s="230"/>
      <c r="D25" s="231"/>
      <c r="E25" s="231"/>
      <c r="F25" s="231"/>
      <c r="G25" s="231"/>
      <c r="H25" s="231"/>
      <c r="I25" s="231"/>
      <c r="J25" s="231"/>
      <c r="K25" s="232"/>
      <c r="L25" s="231"/>
      <c r="M25" s="230"/>
      <c r="N25" s="231"/>
      <c r="O25" s="231"/>
      <c r="P25" s="231"/>
      <c r="Q25" s="231"/>
      <c r="R25" s="231"/>
      <c r="S25" s="231"/>
      <c r="T25" s="231"/>
      <c r="U25" s="232"/>
      <c r="V25" s="231"/>
      <c r="W25" s="230"/>
      <c r="X25" s="231"/>
      <c r="Y25" s="231"/>
      <c r="Z25" s="231"/>
      <c r="AA25" s="231"/>
      <c r="AB25" s="231"/>
      <c r="AC25" s="231"/>
      <c r="AD25" s="231"/>
      <c r="AE25" s="232"/>
      <c r="AF25" s="219"/>
      <c r="AG25" s="251"/>
      <c r="AH25" s="252"/>
      <c r="AI25" s="252"/>
      <c r="AJ25" s="252"/>
      <c r="AK25" s="252"/>
      <c r="AL25" s="252"/>
      <c r="AM25" s="252"/>
      <c r="AN25" s="252"/>
      <c r="AO25" s="253"/>
      <c r="AP25" s="254"/>
      <c r="AQ25" s="255"/>
      <c r="AR25" s="126"/>
    </row>
    <row r="26" spans="1:44" ht="15.75">
      <c r="A26" s="127" t="s">
        <v>114</v>
      </c>
      <c r="B26" s="110"/>
      <c r="C26" s="233">
        <f>10589718</f>
        <v>10589718</v>
      </c>
      <c r="D26" s="231"/>
      <c r="E26" s="272">
        <f>5024417</f>
        <v>5024417</v>
      </c>
      <c r="F26" s="271"/>
      <c r="G26" s="272">
        <f>1924525</f>
        <v>1924525</v>
      </c>
      <c r="H26" s="271"/>
      <c r="I26" s="272">
        <f>6215355</f>
        <v>6215355</v>
      </c>
      <c r="J26" s="231"/>
      <c r="K26" s="234">
        <f t="shared" si="3"/>
        <v>23754015</v>
      </c>
      <c r="L26" s="231"/>
      <c r="M26" s="276">
        <f>5010287</f>
        <v>5010287</v>
      </c>
      <c r="N26" s="271"/>
      <c r="O26" s="272">
        <f>2529563</f>
        <v>2529563</v>
      </c>
      <c r="P26" s="271"/>
      <c r="Q26" s="272">
        <f>888879</f>
        <v>888879</v>
      </c>
      <c r="R26" s="271"/>
      <c r="S26" s="272">
        <f>2907470</f>
        <v>2907470</v>
      </c>
      <c r="T26" s="231"/>
      <c r="U26" s="234">
        <f>SUM(M26:S26)</f>
        <v>11336199</v>
      </c>
      <c r="V26" s="231"/>
      <c r="W26" s="276">
        <f>+C26-M26</f>
        <v>5579431</v>
      </c>
      <c r="X26" s="231"/>
      <c r="Y26" s="272">
        <f>+E26-O26</f>
        <v>2494854</v>
      </c>
      <c r="Z26" s="231"/>
      <c r="AA26" s="272">
        <f>+G26-Q26</f>
        <v>1035646</v>
      </c>
      <c r="AB26" s="231"/>
      <c r="AC26" s="272">
        <f>+I26-S26</f>
        <v>3307885</v>
      </c>
      <c r="AD26" s="231"/>
      <c r="AE26" s="234">
        <f t="shared" si="4"/>
        <v>12417816</v>
      </c>
      <c r="AF26" s="219"/>
      <c r="AG26" s="256">
        <f>+W26-M26</f>
        <v>569144</v>
      </c>
      <c r="AH26" s="252"/>
      <c r="AI26" s="257">
        <f>+Y26-O26</f>
        <v>-34709</v>
      </c>
      <c r="AJ26" s="252"/>
      <c r="AK26" s="257">
        <f>+AA26-Q26</f>
        <v>146767</v>
      </c>
      <c r="AL26" s="252"/>
      <c r="AM26" s="257">
        <f>+AC26-S26</f>
        <v>400415</v>
      </c>
      <c r="AN26" s="252"/>
      <c r="AO26" s="260">
        <f>SUM(AG26:AM26)</f>
        <v>1081617</v>
      </c>
      <c r="AP26" s="254"/>
      <c r="AQ26" s="263">
        <f>+AO26/U26</f>
        <v>0.09541266874372971</v>
      </c>
      <c r="AR26" s="126"/>
    </row>
    <row r="27" spans="1:44" ht="15.75">
      <c r="A27" s="130"/>
      <c r="B27" s="110"/>
      <c r="C27" s="230"/>
      <c r="D27" s="231"/>
      <c r="E27" s="231"/>
      <c r="F27" s="231"/>
      <c r="G27" s="231"/>
      <c r="H27" s="231"/>
      <c r="I27" s="231"/>
      <c r="J27" s="231"/>
      <c r="K27" s="232"/>
      <c r="L27" s="231"/>
      <c r="M27" s="230"/>
      <c r="N27" s="231"/>
      <c r="O27" s="231"/>
      <c r="P27" s="231"/>
      <c r="Q27" s="231"/>
      <c r="R27" s="231"/>
      <c r="S27" s="231"/>
      <c r="T27" s="231"/>
      <c r="U27" s="232"/>
      <c r="V27" s="231"/>
      <c r="W27" s="230"/>
      <c r="X27" s="231"/>
      <c r="Y27" s="231"/>
      <c r="Z27" s="231"/>
      <c r="AA27" s="231"/>
      <c r="AB27" s="231"/>
      <c r="AC27" s="231"/>
      <c r="AD27" s="231"/>
      <c r="AE27" s="232"/>
      <c r="AF27" s="219"/>
      <c r="AG27" s="251"/>
      <c r="AH27" s="252"/>
      <c r="AI27" s="252"/>
      <c r="AJ27" s="252"/>
      <c r="AK27" s="252"/>
      <c r="AL27" s="252"/>
      <c r="AM27" s="252"/>
      <c r="AN27" s="252"/>
      <c r="AO27" s="253">
        <f>SUM(AG27:AM27)</f>
        <v>0</v>
      </c>
      <c r="AP27" s="254"/>
      <c r="AQ27" s="255"/>
      <c r="AR27" s="126"/>
    </row>
    <row r="28" spans="1:44" ht="15.75">
      <c r="A28" s="130" t="s">
        <v>115</v>
      </c>
      <c r="B28" s="110"/>
      <c r="C28" s="280">
        <f>63288525</f>
        <v>63288525</v>
      </c>
      <c r="D28" s="281"/>
      <c r="E28" s="282">
        <f>10740029</f>
        <v>10740029</v>
      </c>
      <c r="F28" s="281"/>
      <c r="G28" s="283">
        <f>2702686</f>
        <v>2702686</v>
      </c>
      <c r="H28" s="287"/>
      <c r="I28" s="283">
        <f>3267560</f>
        <v>3267560</v>
      </c>
      <c r="J28" s="281"/>
      <c r="K28" s="284">
        <f t="shared" si="3"/>
        <v>79998800</v>
      </c>
      <c r="L28" s="281"/>
      <c r="M28" s="280">
        <f>34782464</f>
        <v>34782464</v>
      </c>
      <c r="N28" s="281"/>
      <c r="O28" s="283">
        <f>5376634</f>
        <v>5376634</v>
      </c>
      <c r="P28" s="281"/>
      <c r="Q28" s="283">
        <f>1430012</f>
        <v>1430012</v>
      </c>
      <c r="R28" s="287"/>
      <c r="S28" s="283">
        <f>1631310</f>
        <v>1631310</v>
      </c>
      <c r="T28" s="281"/>
      <c r="U28" s="284">
        <f>SUM(M28:S28)</f>
        <v>43220420</v>
      </c>
      <c r="V28" s="281"/>
      <c r="W28" s="280">
        <f>+C28-M28</f>
        <v>28506061</v>
      </c>
      <c r="X28" s="281"/>
      <c r="Y28" s="283">
        <f>+E28-O28</f>
        <v>5363395</v>
      </c>
      <c r="Z28" s="281"/>
      <c r="AA28" s="283">
        <f>+G28-Q28</f>
        <v>1272674</v>
      </c>
      <c r="AB28" s="281"/>
      <c r="AC28" s="283">
        <f>+I28-S28</f>
        <v>1636250</v>
      </c>
      <c r="AD28" s="281"/>
      <c r="AE28" s="284">
        <f t="shared" si="4"/>
        <v>36778380</v>
      </c>
      <c r="AF28" s="219"/>
      <c r="AG28" s="256">
        <f>+W28-M28</f>
        <v>-6276403</v>
      </c>
      <c r="AH28" s="252"/>
      <c r="AI28" s="257">
        <f>+Y28-O28</f>
        <v>-13239</v>
      </c>
      <c r="AJ28" s="252"/>
      <c r="AK28" s="257">
        <f>+AA28-Q28</f>
        <v>-157338</v>
      </c>
      <c r="AL28" s="252"/>
      <c r="AM28" s="257">
        <f>+AC28-S28</f>
        <v>4940</v>
      </c>
      <c r="AN28" s="252"/>
      <c r="AO28" s="260">
        <f>SUM(AG28:AM28)</f>
        <v>-6442040</v>
      </c>
      <c r="AP28" s="254"/>
      <c r="AQ28" s="263">
        <f>+AO28/U28</f>
        <v>-0.14905084217136252</v>
      </c>
      <c r="AR28" s="126"/>
    </row>
    <row r="29" spans="1:44" ht="15.75">
      <c r="A29" s="130"/>
      <c r="B29" s="110"/>
      <c r="C29" s="230"/>
      <c r="D29" s="231"/>
      <c r="E29" s="231"/>
      <c r="F29" s="231"/>
      <c r="G29" s="231"/>
      <c r="H29" s="231"/>
      <c r="I29" s="231"/>
      <c r="J29" s="231"/>
      <c r="K29" s="232"/>
      <c r="L29" s="231"/>
      <c r="M29" s="230"/>
      <c r="N29" s="231"/>
      <c r="O29" s="231"/>
      <c r="P29" s="231"/>
      <c r="Q29" s="231"/>
      <c r="R29" s="231"/>
      <c r="S29" s="231"/>
      <c r="T29" s="231"/>
      <c r="U29" s="232"/>
      <c r="V29" s="231"/>
      <c r="W29" s="230"/>
      <c r="X29" s="231"/>
      <c r="Y29" s="231"/>
      <c r="Z29" s="231"/>
      <c r="AA29" s="231"/>
      <c r="AB29" s="231"/>
      <c r="AC29" s="231"/>
      <c r="AD29" s="231"/>
      <c r="AE29" s="232"/>
      <c r="AF29" s="219"/>
      <c r="AG29" s="251"/>
      <c r="AH29" s="252"/>
      <c r="AI29" s="252"/>
      <c r="AJ29" s="252"/>
      <c r="AK29" s="252"/>
      <c r="AL29" s="252"/>
      <c r="AM29" s="252"/>
      <c r="AN29" s="252"/>
      <c r="AO29" s="253"/>
      <c r="AP29" s="254"/>
      <c r="AQ29" s="255"/>
      <c r="AR29" s="126"/>
    </row>
    <row r="30" spans="1:44" ht="15.75">
      <c r="A30" s="127" t="s">
        <v>116</v>
      </c>
      <c r="B30" s="110"/>
      <c r="C30" s="192">
        <v>0</v>
      </c>
      <c r="D30" s="231"/>
      <c r="E30" s="193">
        <v>0</v>
      </c>
      <c r="F30" s="231"/>
      <c r="G30" s="272">
        <f>(993410)</f>
        <v>993410</v>
      </c>
      <c r="H30" s="271"/>
      <c r="I30" s="272">
        <f>(243908)</f>
        <v>243908</v>
      </c>
      <c r="J30" s="271"/>
      <c r="K30" s="275">
        <f t="shared" si="3"/>
        <v>1237318</v>
      </c>
      <c r="L30" s="231"/>
      <c r="M30" s="192">
        <v>0</v>
      </c>
      <c r="N30" s="189"/>
      <c r="O30" s="193">
        <v>0</v>
      </c>
      <c r="P30" s="189"/>
      <c r="Q30" s="193">
        <v>0</v>
      </c>
      <c r="R30" s="189"/>
      <c r="S30" s="193">
        <v>0</v>
      </c>
      <c r="T30" s="189"/>
      <c r="U30" s="268">
        <v>0</v>
      </c>
      <c r="V30" s="231"/>
      <c r="W30" s="192">
        <f>+C30-M30</f>
        <v>0</v>
      </c>
      <c r="X30" s="189"/>
      <c r="Y30" s="193">
        <f>+E30-O30</f>
        <v>0</v>
      </c>
      <c r="Z30" s="231"/>
      <c r="AA30" s="272">
        <f>+G30-Q30</f>
        <v>993410</v>
      </c>
      <c r="AB30" s="231"/>
      <c r="AC30" s="272">
        <f>+I30-S30</f>
        <v>243908</v>
      </c>
      <c r="AD30" s="231"/>
      <c r="AE30" s="275">
        <f t="shared" si="4"/>
        <v>1237318</v>
      </c>
      <c r="AF30" s="219"/>
      <c r="AG30" s="256">
        <f>+W30-M30</f>
        <v>0</v>
      </c>
      <c r="AH30" s="252"/>
      <c r="AI30" s="257">
        <f>+Y30-O30</f>
        <v>0</v>
      </c>
      <c r="AJ30" s="252"/>
      <c r="AK30" s="257">
        <f>+AA30-Q30</f>
        <v>993410</v>
      </c>
      <c r="AL30" s="252"/>
      <c r="AM30" s="257">
        <f>+AC30-S30</f>
        <v>243908</v>
      </c>
      <c r="AN30" s="252"/>
      <c r="AO30" s="260">
        <f>SUM(AG30:AM30)</f>
        <v>1237318</v>
      </c>
      <c r="AP30" s="254"/>
      <c r="AQ30" s="263">
        <v>1</v>
      </c>
      <c r="AR30" s="126"/>
    </row>
    <row r="31" spans="1:44" ht="9.75" customHeight="1">
      <c r="A31" s="130"/>
      <c r="B31" s="110"/>
      <c r="C31" s="230"/>
      <c r="D31" s="231"/>
      <c r="E31" s="231"/>
      <c r="F31" s="231"/>
      <c r="G31" s="231"/>
      <c r="H31" s="231"/>
      <c r="I31" s="231"/>
      <c r="J31" s="231"/>
      <c r="K31" s="232"/>
      <c r="L31" s="231"/>
      <c r="M31" s="230"/>
      <c r="N31" s="231"/>
      <c r="O31" s="231"/>
      <c r="P31" s="231"/>
      <c r="Q31" s="231"/>
      <c r="R31" s="231"/>
      <c r="S31" s="231"/>
      <c r="T31" s="231"/>
      <c r="U31" s="232"/>
      <c r="V31" s="231"/>
      <c r="W31" s="230"/>
      <c r="X31" s="231"/>
      <c r="Y31" s="231"/>
      <c r="Z31" s="231"/>
      <c r="AA31" s="231"/>
      <c r="AB31" s="231"/>
      <c r="AC31" s="231"/>
      <c r="AD31" s="231"/>
      <c r="AE31" s="232"/>
      <c r="AF31" s="219"/>
      <c r="AG31" s="251"/>
      <c r="AH31" s="252"/>
      <c r="AI31" s="252"/>
      <c r="AJ31" s="252"/>
      <c r="AK31" s="252"/>
      <c r="AL31" s="252"/>
      <c r="AM31" s="252"/>
      <c r="AN31" s="252"/>
      <c r="AO31" s="253"/>
      <c r="AP31" s="254"/>
      <c r="AQ31" s="255"/>
      <c r="AR31" s="126"/>
    </row>
    <row r="32" spans="1:44" ht="15.75">
      <c r="A32" s="130" t="s">
        <v>59</v>
      </c>
      <c r="B32" s="110"/>
      <c r="C32" s="280">
        <f>+C15-C22-C24-C26-C28-C30</f>
        <v>-37012018</v>
      </c>
      <c r="D32" s="281"/>
      <c r="E32" s="282">
        <f>+E15-E22-E24-E26-E28-E30</f>
        <v>-21741450</v>
      </c>
      <c r="F32" s="281"/>
      <c r="G32" s="282">
        <f>+G15-G22-G24-G26-G28-G30</f>
        <v>110783322</v>
      </c>
      <c r="H32" s="281"/>
      <c r="I32" s="282">
        <f>+I15-I22-I24-I26-I28-I30</f>
        <v>-18905570</v>
      </c>
      <c r="J32" s="281"/>
      <c r="K32" s="284">
        <f>SUM(C32:I32)</f>
        <v>33124284</v>
      </c>
      <c r="L32" s="281"/>
      <c r="M32" s="280">
        <f>+M15-M22-M24-M26-M28-M30</f>
        <v>-34994629</v>
      </c>
      <c r="N32" s="281"/>
      <c r="O32" s="282">
        <f>+O15-O22-O24-O26-O28-O30</f>
        <v>-10810401</v>
      </c>
      <c r="P32" s="281"/>
      <c r="Q32" s="282">
        <f>+Q15-Q22-Q24-Q26-Q28-Q30</f>
        <v>44852254</v>
      </c>
      <c r="R32" s="281"/>
      <c r="S32" s="283">
        <f>+S15-S22-S24-S26-S28-S30</f>
        <v>-5409917</v>
      </c>
      <c r="T32" s="281"/>
      <c r="U32" s="288">
        <f>SUM(M32:S32)</f>
        <v>-6362693</v>
      </c>
      <c r="V32" s="281"/>
      <c r="W32" s="285">
        <f>+W15-W22-W24-W26-W28-W30</f>
        <v>-2017389</v>
      </c>
      <c r="X32" s="281"/>
      <c r="Y32" s="282">
        <f>+Y15-Y22-Y24-Y26-Y28-Y30</f>
        <v>-10931049</v>
      </c>
      <c r="Z32" s="281"/>
      <c r="AA32" s="282">
        <f>+AA15-AA22-AA24-AA26-AA28-AA30</f>
        <v>65931068</v>
      </c>
      <c r="AB32" s="281"/>
      <c r="AC32" s="282">
        <f>+AC15-AC22-AC24-AC26-AC28-AC30</f>
        <v>-13495653</v>
      </c>
      <c r="AD32" s="281"/>
      <c r="AE32" s="284">
        <f>SUM(W32:AC32)</f>
        <v>39486977</v>
      </c>
      <c r="AF32" s="219"/>
      <c r="AG32" s="256">
        <f>+AG15-AG22-AG24-AG26-AG28-AG30</f>
        <v>32977240</v>
      </c>
      <c r="AH32" s="252"/>
      <c r="AI32" s="257">
        <f>+AI15-AI22-AI24-AI26-AI28-AI30</f>
        <v>-120648</v>
      </c>
      <c r="AJ32" s="252"/>
      <c r="AK32" s="257">
        <f>+AK15-AK22-AK24-AK26-AK28-AK30</f>
        <v>21078814</v>
      </c>
      <c r="AL32" s="252"/>
      <c r="AM32" s="257">
        <f>+AM15-AM22-AM24-AM26-AM28-AM30</f>
        <v>-8085736</v>
      </c>
      <c r="AN32" s="252"/>
      <c r="AO32" s="260">
        <f>SUM(AG32:AM32)</f>
        <v>45849670</v>
      </c>
      <c r="AP32" s="254"/>
      <c r="AQ32" s="264"/>
      <c r="AR32" s="126"/>
    </row>
    <row r="33" spans="1:44" ht="9" customHeight="1">
      <c r="A33" s="130"/>
      <c r="B33" s="110"/>
      <c r="C33" s="230"/>
      <c r="D33" s="231"/>
      <c r="E33" s="231"/>
      <c r="F33" s="231"/>
      <c r="G33" s="231"/>
      <c r="H33" s="231"/>
      <c r="I33" s="231"/>
      <c r="J33" s="231"/>
      <c r="K33" s="232"/>
      <c r="L33" s="231"/>
      <c r="M33" s="230"/>
      <c r="N33" s="231"/>
      <c r="O33" s="231"/>
      <c r="P33" s="231"/>
      <c r="Q33" s="231"/>
      <c r="R33" s="231"/>
      <c r="S33" s="231"/>
      <c r="T33" s="231"/>
      <c r="U33" s="232"/>
      <c r="V33" s="231"/>
      <c r="W33" s="230"/>
      <c r="X33" s="231"/>
      <c r="Y33" s="231"/>
      <c r="Z33" s="231"/>
      <c r="AA33" s="231"/>
      <c r="AB33" s="231"/>
      <c r="AC33" s="231"/>
      <c r="AD33" s="231"/>
      <c r="AE33" s="232"/>
      <c r="AF33" s="219"/>
      <c r="AG33" s="251"/>
      <c r="AH33" s="252"/>
      <c r="AI33" s="252"/>
      <c r="AJ33" s="252"/>
      <c r="AK33" s="252"/>
      <c r="AL33" s="252"/>
      <c r="AM33" s="252"/>
      <c r="AN33" s="252"/>
      <c r="AO33" s="253"/>
      <c r="AP33" s="254"/>
      <c r="AQ33" s="264"/>
      <c r="AR33" s="126"/>
    </row>
    <row r="34" spans="1:44" ht="15.75" customHeight="1">
      <c r="A34" s="229" t="s">
        <v>117</v>
      </c>
      <c r="B34" s="110"/>
      <c r="C34" s="230"/>
      <c r="D34" s="231"/>
      <c r="E34" s="231"/>
      <c r="F34" s="231"/>
      <c r="G34" s="231"/>
      <c r="H34" s="231"/>
      <c r="I34" s="231"/>
      <c r="J34" s="231"/>
      <c r="K34" s="232"/>
      <c r="L34" s="231"/>
      <c r="M34" s="230"/>
      <c r="N34" s="231"/>
      <c r="O34" s="231"/>
      <c r="P34" s="231"/>
      <c r="Q34" s="231"/>
      <c r="R34" s="231"/>
      <c r="S34" s="231"/>
      <c r="T34" s="231"/>
      <c r="U34" s="232"/>
      <c r="V34" s="231"/>
      <c r="W34" s="230"/>
      <c r="X34" s="231"/>
      <c r="Y34" s="231"/>
      <c r="Z34" s="231"/>
      <c r="AA34" s="231"/>
      <c r="AB34" s="231"/>
      <c r="AC34" s="231"/>
      <c r="AD34" s="231"/>
      <c r="AE34" s="232"/>
      <c r="AF34" s="219"/>
      <c r="AG34" s="251"/>
      <c r="AH34" s="252"/>
      <c r="AI34" s="252"/>
      <c r="AJ34" s="252"/>
      <c r="AK34" s="252"/>
      <c r="AL34" s="252"/>
      <c r="AM34" s="252"/>
      <c r="AN34" s="252"/>
      <c r="AO34" s="253">
        <f>SUM(AG34:AM34)</f>
        <v>0</v>
      </c>
      <c r="AP34" s="254"/>
      <c r="AQ34" s="264"/>
      <c r="AR34" s="126"/>
    </row>
    <row r="35" spans="1:44" ht="20.25" customHeight="1">
      <c r="A35" s="127" t="s">
        <v>118</v>
      </c>
      <c r="B35" s="110"/>
      <c r="C35" s="188">
        <v>0</v>
      </c>
      <c r="D35" s="231"/>
      <c r="E35" s="189">
        <v>0</v>
      </c>
      <c r="F35" s="231"/>
      <c r="G35" s="271">
        <f>200000</f>
        <v>200000</v>
      </c>
      <c r="H35" s="231"/>
      <c r="I35" s="189">
        <v>0</v>
      </c>
      <c r="J35" s="231"/>
      <c r="K35" s="273">
        <f t="shared" si="3"/>
        <v>200000</v>
      </c>
      <c r="L35" s="231"/>
      <c r="M35" s="188">
        <v>0</v>
      </c>
      <c r="N35" s="231"/>
      <c r="O35" s="189">
        <v>0</v>
      </c>
      <c r="P35" s="231"/>
      <c r="Q35" s="271">
        <f>200000</f>
        <v>200000</v>
      </c>
      <c r="R35" s="231"/>
      <c r="S35" s="189">
        <v>0</v>
      </c>
      <c r="T35" s="231"/>
      <c r="U35" s="273">
        <f>SUM(M35:S35)</f>
        <v>200000</v>
      </c>
      <c r="V35" s="231"/>
      <c r="W35" s="188">
        <f>+C35-M35</f>
        <v>0</v>
      </c>
      <c r="X35" s="231"/>
      <c r="Y35" s="189">
        <f>+E35-O35</f>
        <v>0</v>
      </c>
      <c r="Z35" s="231"/>
      <c r="AA35" s="189">
        <f>+G35-Q35</f>
        <v>0</v>
      </c>
      <c r="AB35" s="231"/>
      <c r="AC35" s="189">
        <f>+I35-S35</f>
        <v>0</v>
      </c>
      <c r="AD35" s="231"/>
      <c r="AE35" s="190">
        <f t="shared" si="4"/>
        <v>0</v>
      </c>
      <c r="AF35" s="219"/>
      <c r="AG35" s="251">
        <f>+W35-M35</f>
        <v>0</v>
      </c>
      <c r="AH35" s="252"/>
      <c r="AI35" s="252">
        <f>+Y35-O35</f>
        <v>0</v>
      </c>
      <c r="AJ35" s="252"/>
      <c r="AK35" s="252">
        <f>+AA35-Q35</f>
        <v>-200000</v>
      </c>
      <c r="AL35" s="252"/>
      <c r="AM35" s="252">
        <f>+AC35-S35</f>
        <v>0</v>
      </c>
      <c r="AN35" s="252"/>
      <c r="AO35" s="253">
        <f>SUM(AG35:AM35)</f>
        <v>-200000</v>
      </c>
      <c r="AP35" s="254"/>
      <c r="AQ35" s="264"/>
      <c r="AR35" s="126"/>
    </row>
    <row r="36" spans="1:44" ht="15.75">
      <c r="A36" s="127" t="s">
        <v>119</v>
      </c>
      <c r="B36" s="110"/>
      <c r="C36" s="188">
        <v>0</v>
      </c>
      <c r="D36" s="231"/>
      <c r="E36" s="189">
        <v>0</v>
      </c>
      <c r="F36" s="231"/>
      <c r="G36" s="271">
        <f>1300000</f>
        <v>1300000</v>
      </c>
      <c r="H36" s="231"/>
      <c r="I36" s="189">
        <v>0</v>
      </c>
      <c r="J36" s="231"/>
      <c r="K36" s="273">
        <f t="shared" si="3"/>
        <v>1300000</v>
      </c>
      <c r="L36" s="231"/>
      <c r="M36" s="188">
        <v>0</v>
      </c>
      <c r="N36" s="231"/>
      <c r="O36" s="189">
        <v>0</v>
      </c>
      <c r="P36" s="231"/>
      <c r="Q36" s="189">
        <v>0</v>
      </c>
      <c r="R36" s="231"/>
      <c r="S36" s="189">
        <v>0</v>
      </c>
      <c r="T36" s="231"/>
      <c r="U36" s="190">
        <f>SUM(M36:S36)</f>
        <v>0</v>
      </c>
      <c r="V36" s="231"/>
      <c r="W36" s="188">
        <f>+C36-M36</f>
        <v>0</v>
      </c>
      <c r="X36" s="231"/>
      <c r="Y36" s="189">
        <f>+E36-O36</f>
        <v>0</v>
      </c>
      <c r="Z36" s="231"/>
      <c r="AA36" s="271">
        <f>+G36-Q36</f>
        <v>1300000</v>
      </c>
      <c r="AB36" s="231"/>
      <c r="AC36" s="189">
        <f>+I36-S36</f>
        <v>0</v>
      </c>
      <c r="AD36" s="231"/>
      <c r="AE36" s="273">
        <f t="shared" si="4"/>
        <v>1300000</v>
      </c>
      <c r="AF36" s="219"/>
      <c r="AG36" s="251">
        <f>+W36-M36</f>
        <v>0</v>
      </c>
      <c r="AH36" s="252"/>
      <c r="AI36" s="252">
        <f>+Y36-O36</f>
        <v>0</v>
      </c>
      <c r="AJ36" s="252"/>
      <c r="AK36" s="252">
        <f>+AA36-Q36</f>
        <v>1300000</v>
      </c>
      <c r="AL36" s="252"/>
      <c r="AM36" s="252">
        <f>+AC36-S36</f>
        <v>0</v>
      </c>
      <c r="AN36" s="252"/>
      <c r="AO36" s="253">
        <f>SUM(AG36:AM36)</f>
        <v>1300000</v>
      </c>
      <c r="AP36" s="254"/>
      <c r="AQ36" s="264"/>
      <c r="AR36" s="126"/>
    </row>
    <row r="37" spans="1:44" ht="15.75">
      <c r="A37" s="127" t="s">
        <v>120</v>
      </c>
      <c r="B37" s="110"/>
      <c r="C37" s="188">
        <v>0</v>
      </c>
      <c r="D37" s="231"/>
      <c r="E37" s="189">
        <v>0</v>
      </c>
      <c r="F37" s="231"/>
      <c r="G37" s="231">
        <f>-15100000</f>
        <v>-15100000</v>
      </c>
      <c r="H37" s="231"/>
      <c r="I37" s="189">
        <v>0</v>
      </c>
      <c r="J37" s="231"/>
      <c r="K37" s="232">
        <f t="shared" si="3"/>
        <v>-15100000</v>
      </c>
      <c r="L37" s="231"/>
      <c r="M37" s="188">
        <v>0</v>
      </c>
      <c r="N37" s="231"/>
      <c r="O37" s="189">
        <v>0</v>
      </c>
      <c r="P37" s="231"/>
      <c r="Q37" s="271">
        <f>-3500000</f>
        <v>-3500000</v>
      </c>
      <c r="R37" s="231"/>
      <c r="S37" s="189">
        <v>0</v>
      </c>
      <c r="T37" s="231"/>
      <c r="U37" s="273">
        <f>SUM(M37:S37)</f>
        <v>-3500000</v>
      </c>
      <c r="V37" s="231"/>
      <c r="W37" s="188">
        <f>+C37-M37</f>
        <v>0</v>
      </c>
      <c r="X37" s="231"/>
      <c r="Y37" s="189">
        <f>+E37-O37</f>
        <v>0</v>
      </c>
      <c r="Z37" s="231"/>
      <c r="AA37" s="231">
        <f>+G37-Q37</f>
        <v>-11600000</v>
      </c>
      <c r="AB37" s="231"/>
      <c r="AC37" s="189">
        <f>+I37-S37</f>
        <v>0</v>
      </c>
      <c r="AD37" s="231"/>
      <c r="AE37" s="232">
        <f t="shared" si="4"/>
        <v>-11600000</v>
      </c>
      <c r="AF37" s="219"/>
      <c r="AG37" s="251">
        <f>+W37-M37</f>
        <v>0</v>
      </c>
      <c r="AH37" s="252"/>
      <c r="AI37" s="252">
        <f>+Y37-O37</f>
        <v>0</v>
      </c>
      <c r="AJ37" s="252"/>
      <c r="AK37" s="252">
        <f>+AA37-Q37</f>
        <v>-8100000</v>
      </c>
      <c r="AL37" s="252"/>
      <c r="AM37" s="252">
        <f>+AC37-S37</f>
        <v>0</v>
      </c>
      <c r="AN37" s="252"/>
      <c r="AO37" s="253">
        <f>SUM(AG37:AM37)</f>
        <v>-8100000</v>
      </c>
      <c r="AP37" s="254"/>
      <c r="AQ37" s="264"/>
      <c r="AR37" s="126"/>
    </row>
    <row r="38" spans="1:44" ht="15.75">
      <c r="A38" s="130"/>
      <c r="B38" s="110"/>
      <c r="C38" s="289">
        <f>SUM(C35:C37)</f>
        <v>0</v>
      </c>
      <c r="D38" s="281"/>
      <c r="E38" s="191">
        <f>SUM(E35:E37)</f>
        <v>0</v>
      </c>
      <c r="F38" s="281"/>
      <c r="G38" s="282">
        <f>SUM(G35:G37)</f>
        <v>-13600000</v>
      </c>
      <c r="H38" s="281"/>
      <c r="I38" s="191">
        <f>SUM(I35:I37)</f>
        <v>0</v>
      </c>
      <c r="J38" s="281"/>
      <c r="K38" s="284">
        <f>SUM(K35:K37)</f>
        <v>-13600000</v>
      </c>
      <c r="L38" s="281"/>
      <c r="M38" s="289">
        <f>SUM(M35:M37)</f>
        <v>0</v>
      </c>
      <c r="N38" s="281"/>
      <c r="O38" s="191">
        <f>SUM(O35:O37)</f>
        <v>0</v>
      </c>
      <c r="P38" s="281"/>
      <c r="Q38" s="283">
        <f>SUM(Q35:Q37)</f>
        <v>-3300000</v>
      </c>
      <c r="R38" s="281"/>
      <c r="S38" s="191">
        <f>SUM(S35:S37)</f>
        <v>0</v>
      </c>
      <c r="T38" s="281"/>
      <c r="U38" s="288">
        <f>SUM(U35:U37)</f>
        <v>-3300000</v>
      </c>
      <c r="V38" s="281"/>
      <c r="W38" s="289">
        <f>SUM(W35:W37)</f>
        <v>0</v>
      </c>
      <c r="X38" s="281"/>
      <c r="Y38" s="191">
        <f>SUM(Y35:Y37)</f>
        <v>0</v>
      </c>
      <c r="Z38" s="281"/>
      <c r="AA38" s="282">
        <f>SUM(AA35:AA37)</f>
        <v>-10300000</v>
      </c>
      <c r="AB38" s="281"/>
      <c r="AC38" s="191">
        <f>SUM(AC35:AC37)</f>
        <v>0</v>
      </c>
      <c r="AD38" s="281"/>
      <c r="AE38" s="284">
        <f>SUM(AE35:AE37)</f>
        <v>-10300000</v>
      </c>
      <c r="AF38" s="219"/>
      <c r="AG38" s="256">
        <f>SUM(AG35:AG37)</f>
        <v>0</v>
      </c>
      <c r="AH38" s="252"/>
      <c r="AI38" s="257">
        <f>SUM(AI35:AI37)</f>
        <v>0</v>
      </c>
      <c r="AJ38" s="252"/>
      <c r="AK38" s="257">
        <f>SUM(AK35:AK37)</f>
        <v>-7000000</v>
      </c>
      <c r="AL38" s="252"/>
      <c r="AM38" s="257">
        <f>SUM(AM35:AM37)</f>
        <v>0</v>
      </c>
      <c r="AN38" s="252"/>
      <c r="AO38" s="260">
        <f>SUM(AO35:AO37)</f>
        <v>-7000000</v>
      </c>
      <c r="AP38" s="254"/>
      <c r="AQ38" s="264"/>
      <c r="AR38" s="126"/>
    </row>
    <row r="39" spans="1:44" ht="15.75">
      <c r="A39" s="130"/>
      <c r="B39" s="110"/>
      <c r="C39" s="230"/>
      <c r="D39" s="231"/>
      <c r="E39" s="231"/>
      <c r="F39" s="231"/>
      <c r="G39" s="231"/>
      <c r="H39" s="231"/>
      <c r="I39" s="231"/>
      <c r="J39" s="231"/>
      <c r="K39" s="232"/>
      <c r="L39" s="231"/>
      <c r="M39" s="230"/>
      <c r="N39" s="231"/>
      <c r="O39" s="231"/>
      <c r="P39" s="231"/>
      <c r="Q39" s="231"/>
      <c r="R39" s="231"/>
      <c r="S39" s="231"/>
      <c r="T39" s="231"/>
      <c r="U39" s="232"/>
      <c r="V39" s="231"/>
      <c r="W39" s="230"/>
      <c r="X39" s="231"/>
      <c r="Y39" s="231"/>
      <c r="Z39" s="231"/>
      <c r="AA39" s="231"/>
      <c r="AB39" s="231"/>
      <c r="AC39" s="231"/>
      <c r="AD39" s="231"/>
      <c r="AE39" s="232"/>
      <c r="AF39" s="219"/>
      <c r="AG39" s="251"/>
      <c r="AH39" s="252"/>
      <c r="AI39" s="252"/>
      <c r="AJ39" s="252"/>
      <c r="AK39" s="252"/>
      <c r="AL39" s="252"/>
      <c r="AM39" s="252"/>
      <c r="AN39" s="252"/>
      <c r="AO39" s="253"/>
      <c r="AP39" s="254"/>
      <c r="AQ39" s="264"/>
      <c r="AR39" s="126"/>
    </row>
    <row r="40" spans="1:44" ht="16.5" thickBot="1">
      <c r="A40" s="130" t="s">
        <v>121</v>
      </c>
      <c r="B40" s="110"/>
      <c r="C40" s="235">
        <f>+C32-C38</f>
        <v>-37012018</v>
      </c>
      <c r="D40" s="231"/>
      <c r="E40" s="236">
        <f>+E32-E38</f>
        <v>-21741450</v>
      </c>
      <c r="F40" s="231"/>
      <c r="G40" s="236">
        <f>+G32-G38</f>
        <v>124383322</v>
      </c>
      <c r="H40" s="231"/>
      <c r="I40" s="236">
        <f>+I32-I38</f>
        <v>-18905570</v>
      </c>
      <c r="J40" s="231"/>
      <c r="K40" s="237">
        <f>+K32-K38</f>
        <v>46724284</v>
      </c>
      <c r="L40" s="231"/>
      <c r="M40" s="235">
        <f>+M32-M38</f>
        <v>-34994629</v>
      </c>
      <c r="N40" s="231"/>
      <c r="O40" s="236">
        <f>+O32-O38</f>
        <v>-10810401</v>
      </c>
      <c r="P40" s="231"/>
      <c r="Q40" s="236">
        <f>+Q32-Q38</f>
        <v>48152254</v>
      </c>
      <c r="R40" s="231"/>
      <c r="S40" s="278">
        <f>+S32-S38</f>
        <v>-5409917</v>
      </c>
      <c r="T40" s="231"/>
      <c r="U40" s="277">
        <f>+U32-U38</f>
        <v>-3062693</v>
      </c>
      <c r="V40" s="231"/>
      <c r="W40" s="279">
        <f>+W32-W38</f>
        <v>-2017389</v>
      </c>
      <c r="X40" s="231"/>
      <c r="Y40" s="236">
        <f>+Y32-Y38</f>
        <v>-10931049</v>
      </c>
      <c r="Z40" s="231"/>
      <c r="AA40" s="236">
        <f>+AA32-AA38</f>
        <v>76231068</v>
      </c>
      <c r="AB40" s="231"/>
      <c r="AC40" s="236">
        <f>+AC32-AC38</f>
        <v>-13495653</v>
      </c>
      <c r="AD40" s="231"/>
      <c r="AE40" s="237">
        <f>+AE32-AE38</f>
        <v>49786977</v>
      </c>
      <c r="AF40" s="223"/>
      <c r="AG40" s="265">
        <f>+AG32-AG38</f>
        <v>32977240</v>
      </c>
      <c r="AH40" s="252"/>
      <c r="AI40" s="266">
        <f>+AI32-AI38</f>
        <v>-120648</v>
      </c>
      <c r="AJ40" s="252"/>
      <c r="AK40" s="266">
        <f>+AK32-AK38</f>
        <v>28078814</v>
      </c>
      <c r="AL40" s="252"/>
      <c r="AM40" s="266">
        <f>+AM32-AM38</f>
        <v>-8085736</v>
      </c>
      <c r="AN40" s="252"/>
      <c r="AO40" s="267">
        <f>+AO32-AO38</f>
        <v>52849670</v>
      </c>
      <c r="AP40" s="254"/>
      <c r="AQ40" s="264"/>
      <c r="AR40" s="126"/>
    </row>
    <row r="41" spans="1:44" ht="16.5" thickTop="1">
      <c r="A41" s="127"/>
      <c r="B41" s="11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19"/>
      <c r="AG41" s="220"/>
      <c r="AH41" s="220"/>
      <c r="AI41" s="220"/>
      <c r="AJ41" s="220"/>
      <c r="AK41" s="220"/>
      <c r="AL41" s="113"/>
      <c r="AM41" s="113"/>
      <c r="AN41" s="113"/>
      <c r="AO41" s="113"/>
      <c r="AP41" s="113"/>
      <c r="AQ41" s="222"/>
      <c r="AR41" s="126"/>
    </row>
    <row r="42" spans="1:44" ht="15.75">
      <c r="A42" s="127" t="s">
        <v>124</v>
      </c>
      <c r="B42" s="11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19"/>
      <c r="AG42" s="220"/>
      <c r="AH42" s="220"/>
      <c r="AI42" s="220"/>
      <c r="AJ42" s="220"/>
      <c r="AK42" s="220"/>
      <c r="AL42" s="113"/>
      <c r="AM42" s="113"/>
      <c r="AN42" s="113"/>
      <c r="AO42" s="113"/>
      <c r="AP42" s="113"/>
      <c r="AQ42" s="113"/>
      <c r="AR42" s="126"/>
    </row>
    <row r="43" spans="1:44" ht="15.75">
      <c r="A43" s="127" t="s">
        <v>125</v>
      </c>
      <c r="B43" s="11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19"/>
      <c r="AG43" s="220"/>
      <c r="AH43" s="220"/>
      <c r="AI43" s="220"/>
      <c r="AJ43" s="220"/>
      <c r="AK43" s="220"/>
      <c r="AL43" s="113"/>
      <c r="AM43" s="113"/>
      <c r="AN43" s="113"/>
      <c r="AO43" s="113"/>
      <c r="AP43" s="113"/>
      <c r="AQ43" s="113"/>
      <c r="AR43" s="126"/>
    </row>
    <row r="44" spans="1:44" ht="15.75">
      <c r="A44" s="127" t="s">
        <v>126</v>
      </c>
      <c r="B44" s="110"/>
      <c r="C44" s="220">
        <v>0.14</v>
      </c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19"/>
      <c r="AG44" s="220"/>
      <c r="AH44" s="220"/>
      <c r="AI44" s="220"/>
      <c r="AJ44" s="220"/>
      <c r="AK44" s="220"/>
      <c r="AL44" s="113"/>
      <c r="AM44" s="113"/>
      <c r="AN44" s="113"/>
      <c r="AO44" s="113"/>
      <c r="AP44" s="113"/>
      <c r="AQ44" s="113"/>
      <c r="AR44" s="126"/>
    </row>
    <row r="45" spans="1:44" ht="15.75">
      <c r="A45" s="127" t="s">
        <v>127</v>
      </c>
      <c r="B45" s="110"/>
      <c r="C45" s="220">
        <v>0.72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19"/>
      <c r="AG45" s="220"/>
      <c r="AH45" s="220"/>
      <c r="AI45" s="220"/>
      <c r="AJ45" s="220"/>
      <c r="AK45" s="220"/>
      <c r="AL45" s="113"/>
      <c r="AM45" s="113"/>
      <c r="AN45" s="113"/>
      <c r="AO45" s="113"/>
      <c r="AP45" s="113"/>
      <c r="AQ45" s="113"/>
      <c r="AR45" s="126"/>
    </row>
    <row r="46" spans="1:44" ht="15.75">
      <c r="A46" s="127" t="s">
        <v>128</v>
      </c>
      <c r="B46" s="110"/>
      <c r="C46" s="220">
        <v>0.16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19"/>
      <c r="AG46" s="220"/>
      <c r="AH46" s="220"/>
      <c r="AI46" s="220"/>
      <c r="AJ46" s="220"/>
      <c r="AK46" s="220"/>
      <c r="AL46" s="113"/>
      <c r="AM46" s="113"/>
      <c r="AN46" s="113"/>
      <c r="AO46" s="113"/>
      <c r="AP46" s="113"/>
      <c r="AQ46" s="113"/>
      <c r="AR46" s="126"/>
    </row>
    <row r="47" spans="1:44" ht="15.75">
      <c r="A47" s="127" t="s">
        <v>129</v>
      </c>
      <c r="B47" s="110"/>
      <c r="C47" s="220">
        <v>0.16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19"/>
      <c r="AG47" s="220"/>
      <c r="AH47" s="220"/>
      <c r="AI47" s="220"/>
      <c r="AJ47" s="220"/>
      <c r="AK47" s="220"/>
      <c r="AL47" s="113"/>
      <c r="AM47" s="113"/>
      <c r="AN47" s="113"/>
      <c r="AO47" s="113"/>
      <c r="AP47" s="113"/>
      <c r="AQ47" s="113"/>
      <c r="AR47" s="126"/>
    </row>
    <row r="48" spans="1:44" ht="15.75">
      <c r="A48" s="127" t="s">
        <v>130</v>
      </c>
      <c r="B48" s="110"/>
      <c r="C48" s="220">
        <v>0.31</v>
      </c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19"/>
      <c r="AG48" s="220"/>
      <c r="AH48" s="220"/>
      <c r="AI48" s="220"/>
      <c r="AJ48" s="220"/>
      <c r="AK48" s="220"/>
      <c r="AL48" s="113"/>
      <c r="AM48" s="113"/>
      <c r="AN48" s="113"/>
      <c r="AO48" s="113"/>
      <c r="AP48" s="113"/>
      <c r="AQ48" s="113"/>
      <c r="AR48" s="126"/>
    </row>
    <row r="49" spans="1:44" ht="15.75">
      <c r="A49" s="127" t="s">
        <v>131</v>
      </c>
      <c r="B49" s="110"/>
      <c r="C49" s="220">
        <v>0.36</v>
      </c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19"/>
      <c r="AG49" s="220"/>
      <c r="AH49" s="220"/>
      <c r="AI49" s="220"/>
      <c r="AJ49" s="220"/>
      <c r="AK49" s="220"/>
      <c r="AL49" s="113"/>
      <c r="AM49" s="113"/>
      <c r="AN49" s="113"/>
      <c r="AO49" s="113"/>
      <c r="AP49" s="113"/>
      <c r="AQ49" s="113"/>
      <c r="AR49" s="126"/>
    </row>
    <row r="50" spans="1:44" ht="16.5" thickBot="1">
      <c r="A50" s="127"/>
      <c r="B50" s="110"/>
      <c r="C50" s="221">
        <f>SUM(C44:C49)</f>
        <v>1.85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19"/>
      <c r="AG50" s="220"/>
      <c r="AH50" s="220"/>
      <c r="AI50" s="220"/>
      <c r="AJ50" s="220"/>
      <c r="AK50" s="220"/>
      <c r="AL50" s="113"/>
      <c r="AM50" s="113"/>
      <c r="AN50" s="113"/>
      <c r="AO50" s="113"/>
      <c r="AP50" s="113"/>
      <c r="AQ50" s="113"/>
      <c r="AR50" s="126"/>
    </row>
    <row r="51" spans="1:44" ht="16.5" thickTop="1">
      <c r="A51" s="131"/>
      <c r="B51" s="132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5"/>
      <c r="AG51" s="224"/>
      <c r="AH51" s="224"/>
      <c r="AI51" s="224"/>
      <c r="AJ51" s="224"/>
      <c r="AK51" s="224"/>
      <c r="AL51" s="226"/>
      <c r="AM51" s="226"/>
      <c r="AN51" s="226"/>
      <c r="AO51" s="113"/>
      <c r="AP51" s="113"/>
      <c r="AQ51" s="113"/>
      <c r="AR51" s="133"/>
    </row>
    <row r="52" spans="1:43" ht="15.75">
      <c r="A52" s="112"/>
      <c r="B52" s="102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8"/>
      <c r="AG52" s="227"/>
      <c r="AH52" s="227"/>
      <c r="AI52" s="227"/>
      <c r="AJ52" s="227"/>
      <c r="AK52" s="227"/>
      <c r="AL52" s="112"/>
      <c r="AM52" s="112"/>
      <c r="AN52" s="112"/>
      <c r="AO52" s="112"/>
      <c r="AP52" s="112"/>
      <c r="AQ52" s="112"/>
    </row>
    <row r="53" spans="1:43" ht="15.75">
      <c r="A53" s="112"/>
      <c r="B53" s="102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8"/>
      <c r="AG53" s="227"/>
      <c r="AH53" s="227"/>
      <c r="AI53" s="227"/>
      <c r="AJ53" s="227"/>
      <c r="AK53" s="227"/>
      <c r="AL53" s="112"/>
      <c r="AM53" s="112"/>
      <c r="AN53" s="112"/>
      <c r="AO53" s="112"/>
      <c r="AP53" s="112"/>
      <c r="AQ53" s="112"/>
    </row>
    <row r="54" spans="1:43" ht="15.75">
      <c r="A54" s="112"/>
      <c r="B54" s="102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8"/>
      <c r="AG54" s="227"/>
      <c r="AH54" s="227"/>
      <c r="AI54" s="227"/>
      <c r="AJ54" s="227"/>
      <c r="AK54" s="227"/>
      <c r="AL54" s="112"/>
      <c r="AM54" s="112"/>
      <c r="AN54" s="112"/>
      <c r="AO54" s="112"/>
      <c r="AP54" s="112"/>
      <c r="AQ54" s="112"/>
    </row>
    <row r="55" spans="1:43" ht="15.75">
      <c r="A55" s="112"/>
      <c r="B55" s="102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8"/>
      <c r="AG55" s="227"/>
      <c r="AH55" s="227"/>
      <c r="AI55" s="227"/>
      <c r="AJ55" s="227"/>
      <c r="AK55" s="227"/>
      <c r="AL55" s="112"/>
      <c r="AM55" s="112"/>
      <c r="AN55" s="112"/>
      <c r="AO55" s="112"/>
      <c r="AP55" s="112"/>
      <c r="AQ55" s="112"/>
    </row>
    <row r="56" spans="1:43" ht="15.75">
      <c r="A56" s="112"/>
      <c r="B56" s="102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8"/>
      <c r="AG56" s="227"/>
      <c r="AH56" s="227"/>
      <c r="AI56" s="227"/>
      <c r="AJ56" s="227"/>
      <c r="AK56" s="227"/>
      <c r="AL56" s="112"/>
      <c r="AM56" s="112"/>
      <c r="AN56" s="112"/>
      <c r="AO56" s="112"/>
      <c r="AP56" s="112"/>
      <c r="AQ56" s="112"/>
    </row>
    <row r="57" spans="1:43" ht="15.75">
      <c r="A57" s="112"/>
      <c r="B57" s="102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8"/>
      <c r="AG57" s="227"/>
      <c r="AH57" s="227"/>
      <c r="AI57" s="227"/>
      <c r="AJ57" s="227"/>
      <c r="AK57" s="227"/>
      <c r="AL57" s="112"/>
      <c r="AM57" s="112"/>
      <c r="AN57" s="112"/>
      <c r="AO57" s="112"/>
      <c r="AP57" s="112"/>
      <c r="AQ57" s="112"/>
    </row>
    <row r="58" spans="1:43" ht="15.75">
      <c r="A58" s="112"/>
      <c r="B58" s="102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8"/>
      <c r="AG58" s="227"/>
      <c r="AH58" s="227"/>
      <c r="AI58" s="227"/>
      <c r="AJ58" s="227"/>
      <c r="AK58" s="227"/>
      <c r="AL58" s="112"/>
      <c r="AM58" s="112"/>
      <c r="AN58" s="112"/>
      <c r="AO58" s="112"/>
      <c r="AP58" s="112"/>
      <c r="AQ58" s="112"/>
    </row>
    <row r="59" spans="1:43" ht="15.75">
      <c r="A59" s="112"/>
      <c r="B59" s="102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8"/>
      <c r="AG59" s="227"/>
      <c r="AH59" s="227"/>
      <c r="AI59" s="227"/>
      <c r="AJ59" s="227"/>
      <c r="AK59" s="227"/>
      <c r="AL59" s="112"/>
      <c r="AM59" s="112"/>
      <c r="AN59" s="112"/>
      <c r="AO59" s="112"/>
      <c r="AP59" s="112"/>
      <c r="AQ59" s="112"/>
    </row>
    <row r="60" spans="1:43" ht="15.75">
      <c r="A60" s="112"/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18"/>
      <c r="AG60" s="103"/>
      <c r="AH60" s="103"/>
      <c r="AI60" s="103"/>
      <c r="AJ60" s="103"/>
      <c r="AK60" s="103"/>
      <c r="AL60" s="102"/>
      <c r="AM60" s="102"/>
      <c r="AN60" s="102"/>
      <c r="AO60" s="102"/>
      <c r="AP60" s="102"/>
      <c r="AQ60" s="102"/>
    </row>
    <row r="61" spans="1:43" ht="15.75">
      <c r="A61" s="112"/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18"/>
      <c r="AG61" s="103"/>
      <c r="AH61" s="103"/>
      <c r="AI61" s="103"/>
      <c r="AJ61" s="103"/>
      <c r="AK61" s="103"/>
      <c r="AL61" s="102"/>
      <c r="AM61" s="102"/>
      <c r="AN61" s="102"/>
      <c r="AO61" s="102"/>
      <c r="AP61" s="102"/>
      <c r="AQ61" s="102"/>
    </row>
    <row r="62" spans="1:43" ht="15.75">
      <c r="A62" s="112"/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18"/>
      <c r="AG62" s="103"/>
      <c r="AH62" s="103"/>
      <c r="AI62" s="103"/>
      <c r="AJ62" s="103"/>
      <c r="AK62" s="103"/>
      <c r="AL62" s="102"/>
      <c r="AM62" s="102"/>
      <c r="AN62" s="102"/>
      <c r="AO62" s="102"/>
      <c r="AP62" s="102"/>
      <c r="AQ62" s="102"/>
    </row>
    <row r="63" spans="1:43" ht="15.75">
      <c r="A63" s="112"/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18"/>
      <c r="AG63" s="103"/>
      <c r="AH63" s="103"/>
      <c r="AI63" s="103"/>
      <c r="AJ63" s="103"/>
      <c r="AK63" s="103"/>
      <c r="AL63" s="102"/>
      <c r="AM63" s="102"/>
      <c r="AN63" s="102"/>
      <c r="AO63" s="102"/>
      <c r="AP63" s="102"/>
      <c r="AQ63" s="102"/>
    </row>
    <row r="64" spans="3:37" ht="15.75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19"/>
      <c r="AG64" s="101"/>
      <c r="AH64" s="101"/>
      <c r="AI64" s="101"/>
      <c r="AJ64" s="101"/>
      <c r="AK64" s="101"/>
    </row>
    <row r="65" spans="3:37" ht="15.75"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19"/>
      <c r="AG65" s="101"/>
      <c r="AH65" s="101"/>
      <c r="AI65" s="101"/>
      <c r="AJ65" s="101"/>
      <c r="AK65" s="101"/>
    </row>
    <row r="66" spans="3:37" ht="15.75"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19"/>
      <c r="AG66" s="101"/>
      <c r="AH66" s="101"/>
      <c r="AI66" s="101"/>
      <c r="AJ66" s="101"/>
      <c r="AK66" s="101"/>
    </row>
    <row r="67" spans="3:37" ht="15.75"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19"/>
      <c r="AG67" s="101"/>
      <c r="AH67" s="101"/>
      <c r="AI67" s="101"/>
      <c r="AJ67" s="101"/>
      <c r="AK67" s="101"/>
    </row>
    <row r="68" spans="3:37" ht="15.7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19"/>
      <c r="AG68" s="101"/>
      <c r="AH68" s="101"/>
      <c r="AI68" s="101"/>
      <c r="AJ68" s="101"/>
      <c r="AK68" s="101"/>
    </row>
    <row r="69" spans="3:37" ht="15.75"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19"/>
      <c r="AG69" s="101"/>
      <c r="AH69" s="101"/>
      <c r="AI69" s="101"/>
      <c r="AJ69" s="101"/>
      <c r="AK69" s="101"/>
    </row>
    <row r="70" spans="3:37" ht="15.75"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19"/>
      <c r="AG70" s="101"/>
      <c r="AH70" s="101"/>
      <c r="AI70" s="101"/>
      <c r="AJ70" s="101"/>
      <c r="AK70" s="101"/>
    </row>
    <row r="71" spans="3:37" ht="15.75"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19"/>
      <c r="AG71" s="101"/>
      <c r="AH71" s="101"/>
      <c r="AI71" s="101"/>
      <c r="AJ71" s="101"/>
      <c r="AK71" s="101"/>
    </row>
    <row r="72" spans="3:37" ht="15.75"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19"/>
      <c r="AG72" s="101"/>
      <c r="AH72" s="101"/>
      <c r="AI72" s="101"/>
      <c r="AJ72" s="101"/>
      <c r="AK72" s="101"/>
    </row>
    <row r="73" spans="3:37" ht="15.75"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19"/>
      <c r="AG73" s="101"/>
      <c r="AH73" s="101"/>
      <c r="AI73" s="101"/>
      <c r="AJ73" s="101"/>
      <c r="AK73" s="101"/>
    </row>
    <row r="74" spans="3:37" ht="15.75"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19"/>
      <c r="AG74" s="101"/>
      <c r="AH74" s="101"/>
      <c r="AI74" s="101"/>
      <c r="AJ74" s="101"/>
      <c r="AK74" s="101"/>
    </row>
    <row r="75" spans="3:37" ht="15.75"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19"/>
      <c r="AG75" s="101"/>
      <c r="AH75" s="101"/>
      <c r="AI75" s="101"/>
      <c r="AJ75" s="101"/>
      <c r="AK75" s="101"/>
    </row>
    <row r="76" spans="3:37" ht="15.75"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19"/>
      <c r="AG76" s="101"/>
      <c r="AH76" s="101"/>
      <c r="AI76" s="101"/>
      <c r="AJ76" s="101"/>
      <c r="AK76" s="101"/>
    </row>
    <row r="77" spans="3:37" ht="15.75"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19"/>
      <c r="AG77" s="101"/>
      <c r="AH77" s="101"/>
      <c r="AI77" s="101"/>
      <c r="AJ77" s="101"/>
      <c r="AK77" s="101"/>
    </row>
    <row r="78" spans="3:37" ht="15.75"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19"/>
      <c r="AG78" s="101"/>
      <c r="AH78" s="101"/>
      <c r="AI78" s="101"/>
      <c r="AJ78" s="101"/>
      <c r="AK78" s="101"/>
    </row>
    <row r="79" spans="3:37" ht="15.75"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19"/>
      <c r="AG79" s="101"/>
      <c r="AH79" s="101"/>
      <c r="AI79" s="101"/>
      <c r="AJ79" s="101"/>
      <c r="AK79" s="101"/>
    </row>
    <row r="80" spans="3:37" ht="15.75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19"/>
      <c r="AG80" s="101"/>
      <c r="AH80" s="101"/>
      <c r="AI80" s="101"/>
      <c r="AJ80" s="101"/>
      <c r="AK80" s="101"/>
    </row>
    <row r="81" spans="3:37" ht="15.75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19"/>
      <c r="AG81" s="101"/>
      <c r="AH81" s="101"/>
      <c r="AI81" s="101"/>
      <c r="AJ81" s="101"/>
      <c r="AK81" s="101"/>
    </row>
    <row r="82" spans="3:37" ht="15.75"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19"/>
      <c r="AG82" s="101"/>
      <c r="AH82" s="101"/>
      <c r="AI82" s="101"/>
      <c r="AJ82" s="101"/>
      <c r="AK82" s="101"/>
    </row>
    <row r="83" spans="3:37" ht="15.75"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19"/>
      <c r="AG83" s="101"/>
      <c r="AH83" s="101"/>
      <c r="AI83" s="101"/>
      <c r="AJ83" s="101"/>
      <c r="AK83" s="101"/>
    </row>
    <row r="84" spans="3:37" ht="15.75"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19"/>
      <c r="AG84" s="101"/>
      <c r="AH84" s="101"/>
      <c r="AI84" s="101"/>
      <c r="AJ84" s="101"/>
      <c r="AK84" s="101"/>
    </row>
    <row r="85" spans="3:37" ht="15.75"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19"/>
      <c r="AG85" s="101"/>
      <c r="AH85" s="101"/>
      <c r="AI85" s="101"/>
      <c r="AJ85" s="101"/>
      <c r="AK85" s="101"/>
    </row>
    <row r="86" spans="3:37" ht="15.75"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19"/>
      <c r="AG86" s="101"/>
      <c r="AH86" s="101"/>
      <c r="AI86" s="101"/>
      <c r="AJ86" s="101"/>
      <c r="AK86" s="101"/>
    </row>
    <row r="87" spans="3:37" ht="15.75"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19"/>
      <c r="AG87" s="101"/>
      <c r="AH87" s="101"/>
      <c r="AI87" s="101"/>
      <c r="AJ87" s="101"/>
      <c r="AK87" s="101"/>
    </row>
    <row r="88" spans="3:37" ht="15.75"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19"/>
      <c r="AG88" s="101"/>
      <c r="AH88" s="101"/>
      <c r="AI88" s="101"/>
      <c r="AJ88" s="101"/>
      <c r="AK88" s="101"/>
    </row>
    <row r="89" spans="3:37" ht="15.75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19"/>
      <c r="AG89" s="101"/>
      <c r="AH89" s="101"/>
      <c r="AI89" s="101"/>
      <c r="AJ89" s="101"/>
      <c r="AK89" s="101"/>
    </row>
    <row r="90" spans="3:37" ht="15.75"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19"/>
      <c r="AG90" s="101"/>
      <c r="AH90" s="101"/>
      <c r="AI90" s="101"/>
      <c r="AJ90" s="101"/>
      <c r="AK90" s="101"/>
    </row>
    <row r="91" spans="3:37" ht="15.75"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19"/>
      <c r="AG91" s="101"/>
      <c r="AH91" s="101"/>
      <c r="AI91" s="101"/>
      <c r="AJ91" s="101"/>
      <c r="AK91" s="101"/>
    </row>
    <row r="92" spans="3:37" ht="15.75"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19"/>
      <c r="AG92" s="101"/>
      <c r="AH92" s="101"/>
      <c r="AI92" s="101"/>
      <c r="AJ92" s="101"/>
      <c r="AK92" s="101"/>
    </row>
    <row r="93" spans="3:37" ht="15.75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19"/>
      <c r="AG93" s="101"/>
      <c r="AH93" s="101"/>
      <c r="AI93" s="101"/>
      <c r="AJ93" s="101"/>
      <c r="AK93" s="101"/>
    </row>
    <row r="94" spans="3:37" ht="15.75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19"/>
      <c r="AG94" s="101"/>
      <c r="AH94" s="101"/>
      <c r="AI94" s="101"/>
      <c r="AJ94" s="101"/>
      <c r="AK94" s="101"/>
    </row>
    <row r="95" spans="3:37" ht="15.75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19"/>
      <c r="AG95" s="101"/>
      <c r="AH95" s="101"/>
      <c r="AI95" s="101"/>
      <c r="AJ95" s="101"/>
      <c r="AK95" s="101"/>
    </row>
    <row r="96" spans="3:37" ht="15.75"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19"/>
      <c r="AG96" s="101"/>
      <c r="AH96" s="101"/>
      <c r="AI96" s="101"/>
      <c r="AJ96" s="101"/>
      <c r="AK96" s="101"/>
    </row>
    <row r="97" spans="3:37" ht="15.75"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19"/>
      <c r="AG97" s="101"/>
      <c r="AH97" s="101"/>
      <c r="AI97" s="101"/>
      <c r="AJ97" s="101"/>
      <c r="AK97" s="101"/>
    </row>
    <row r="98" spans="3:37" ht="15.75"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19"/>
      <c r="AG98" s="101"/>
      <c r="AH98" s="101"/>
      <c r="AI98" s="101"/>
      <c r="AJ98" s="101"/>
      <c r="AK98" s="101"/>
    </row>
    <row r="99" spans="3:37" ht="15.75"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19"/>
      <c r="AG99" s="101"/>
      <c r="AH99" s="101"/>
      <c r="AI99" s="101"/>
      <c r="AJ99" s="101"/>
      <c r="AK99" s="101"/>
    </row>
    <row r="100" spans="3:37" ht="15.75"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19"/>
      <c r="AG100" s="101"/>
      <c r="AH100" s="101"/>
      <c r="AI100" s="101"/>
      <c r="AJ100" s="101"/>
      <c r="AK100" s="101"/>
    </row>
    <row r="101" spans="3:37" ht="15.75"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19"/>
      <c r="AG101" s="101"/>
      <c r="AH101" s="101"/>
      <c r="AI101" s="101"/>
      <c r="AJ101" s="101"/>
      <c r="AK101" s="101"/>
    </row>
    <row r="102" spans="3:37" ht="15.75"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19"/>
      <c r="AG102" s="101"/>
      <c r="AH102" s="101"/>
      <c r="AI102" s="101"/>
      <c r="AJ102" s="101"/>
      <c r="AK102" s="101"/>
    </row>
    <row r="103" spans="3:37" ht="15.75"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19"/>
      <c r="AG103" s="101"/>
      <c r="AH103" s="101"/>
      <c r="AI103" s="101"/>
      <c r="AJ103" s="101"/>
      <c r="AK103" s="101"/>
    </row>
    <row r="104" spans="3:37" ht="15.75"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19"/>
      <c r="AG104" s="101"/>
      <c r="AH104" s="101"/>
      <c r="AI104" s="101"/>
      <c r="AJ104" s="101"/>
      <c r="AK104" s="101"/>
    </row>
    <row r="105" spans="3:37" ht="15.75"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19"/>
      <c r="AG105" s="101"/>
      <c r="AH105" s="101"/>
      <c r="AI105" s="101"/>
      <c r="AJ105" s="101"/>
      <c r="AK105" s="101"/>
    </row>
    <row r="106" spans="3:37" ht="15.75"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19"/>
      <c r="AG106" s="101"/>
      <c r="AH106" s="101"/>
      <c r="AI106" s="101"/>
      <c r="AJ106" s="101"/>
      <c r="AK106" s="101"/>
    </row>
    <row r="107" spans="3:37" ht="15.75"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19"/>
      <c r="AG107" s="101"/>
      <c r="AH107" s="101"/>
      <c r="AI107" s="101"/>
      <c r="AJ107" s="101"/>
      <c r="AK107" s="101"/>
    </row>
    <row r="108" spans="3:37" ht="15.75"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19"/>
      <c r="AG108" s="101"/>
      <c r="AH108" s="101"/>
      <c r="AI108" s="101"/>
      <c r="AJ108" s="101"/>
      <c r="AK108" s="101"/>
    </row>
    <row r="109" spans="3:37" ht="15.75"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19"/>
      <c r="AG109" s="101"/>
      <c r="AH109" s="101"/>
      <c r="AI109" s="101"/>
      <c r="AJ109" s="101"/>
      <c r="AK109" s="101"/>
    </row>
    <row r="110" spans="3:37" ht="15.75"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19"/>
      <c r="AG110" s="101"/>
      <c r="AH110" s="101"/>
      <c r="AI110" s="101"/>
      <c r="AJ110" s="101"/>
      <c r="AK110" s="101"/>
    </row>
    <row r="111" spans="3:37" ht="15.75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19"/>
      <c r="AG111" s="101"/>
      <c r="AH111" s="101"/>
      <c r="AI111" s="101"/>
      <c r="AJ111" s="101"/>
      <c r="AK111" s="101"/>
    </row>
    <row r="112" spans="3:37" ht="15.75"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19"/>
      <c r="AG112" s="101"/>
      <c r="AH112" s="101"/>
      <c r="AI112" s="101"/>
      <c r="AJ112" s="101"/>
      <c r="AK112" s="101"/>
    </row>
    <row r="113" spans="3:37" ht="15.75"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19"/>
      <c r="AG113" s="101"/>
      <c r="AH113" s="101"/>
      <c r="AI113" s="101"/>
      <c r="AJ113" s="101"/>
      <c r="AK113" s="101"/>
    </row>
    <row r="114" spans="3:37" ht="15.75"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19"/>
      <c r="AG114" s="101"/>
      <c r="AH114" s="101"/>
      <c r="AI114" s="101"/>
      <c r="AJ114" s="101"/>
      <c r="AK114" s="101"/>
    </row>
    <row r="115" spans="3:37" ht="15.75"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19"/>
      <c r="AG115" s="101"/>
      <c r="AH115" s="101"/>
      <c r="AI115" s="101"/>
      <c r="AJ115" s="101"/>
      <c r="AK115" s="101"/>
    </row>
    <row r="116" spans="3:37" ht="15.75"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19"/>
      <c r="AG116" s="101"/>
      <c r="AH116" s="101"/>
      <c r="AI116" s="101"/>
      <c r="AJ116" s="101"/>
      <c r="AK116" s="101"/>
    </row>
    <row r="117" spans="3:37" ht="15.75"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19"/>
      <c r="AG117" s="101"/>
      <c r="AH117" s="101"/>
      <c r="AI117" s="101"/>
      <c r="AJ117" s="101"/>
      <c r="AK117" s="101"/>
    </row>
    <row r="118" spans="3:37" ht="15.75"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19"/>
      <c r="AG118" s="101"/>
      <c r="AH118" s="101"/>
      <c r="AI118" s="101"/>
      <c r="AJ118" s="101"/>
      <c r="AK118" s="101"/>
    </row>
    <row r="119" spans="3:37" ht="15.75"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19"/>
      <c r="AG119" s="101"/>
      <c r="AH119" s="101"/>
      <c r="AI119" s="101"/>
      <c r="AJ119" s="101"/>
      <c r="AK119" s="101"/>
    </row>
    <row r="120" spans="3:37" ht="15.75"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19"/>
      <c r="AG120" s="101"/>
      <c r="AH120" s="101"/>
      <c r="AI120" s="101"/>
      <c r="AJ120" s="101"/>
      <c r="AK120" s="101"/>
    </row>
    <row r="121" spans="3:37" ht="15.75"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19"/>
      <c r="AG121" s="101"/>
      <c r="AH121" s="101"/>
      <c r="AI121" s="101"/>
      <c r="AJ121" s="101"/>
      <c r="AK121" s="101"/>
    </row>
    <row r="122" spans="3:37" ht="15.75"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19"/>
      <c r="AG122" s="101"/>
      <c r="AH122" s="101"/>
      <c r="AI122" s="101"/>
      <c r="AJ122" s="101"/>
      <c r="AK122" s="101"/>
    </row>
    <row r="123" spans="3:37" ht="15.75"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19"/>
      <c r="AG123" s="101"/>
      <c r="AH123" s="101"/>
      <c r="AI123" s="101"/>
      <c r="AJ123" s="101"/>
      <c r="AK123" s="101"/>
    </row>
    <row r="124" spans="3:37" ht="15.75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19"/>
      <c r="AG124" s="101"/>
      <c r="AH124" s="101"/>
      <c r="AI124" s="101"/>
      <c r="AJ124" s="101"/>
      <c r="AK124" s="101"/>
    </row>
    <row r="125" spans="3:37" ht="15.75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19"/>
      <c r="AG125" s="101"/>
      <c r="AH125" s="101"/>
      <c r="AI125" s="101"/>
      <c r="AJ125" s="101"/>
      <c r="AK125" s="101"/>
    </row>
    <row r="126" spans="3:37" ht="15.75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19"/>
      <c r="AG126" s="101"/>
      <c r="AH126" s="101"/>
      <c r="AI126" s="101"/>
      <c r="AJ126" s="101"/>
      <c r="AK126" s="101"/>
    </row>
    <row r="127" spans="3:37" ht="15.75"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19"/>
      <c r="AG127" s="101"/>
      <c r="AH127" s="101"/>
      <c r="AI127" s="101"/>
      <c r="AJ127" s="101"/>
      <c r="AK127" s="101"/>
    </row>
    <row r="128" spans="3:37" ht="15.75"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19"/>
      <c r="AG128" s="101"/>
      <c r="AH128" s="101"/>
      <c r="AI128" s="101"/>
      <c r="AJ128" s="101"/>
      <c r="AK128" s="101"/>
    </row>
    <row r="129" spans="3:37" ht="15.75"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19"/>
      <c r="AG129" s="101"/>
      <c r="AH129" s="101"/>
      <c r="AI129" s="101"/>
      <c r="AJ129" s="101"/>
      <c r="AK129" s="101"/>
    </row>
    <row r="130" spans="3:37" ht="15.75"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19"/>
      <c r="AG130" s="101"/>
      <c r="AH130" s="101"/>
      <c r="AI130" s="101"/>
      <c r="AJ130" s="101"/>
      <c r="AK130" s="101"/>
    </row>
    <row r="131" spans="3:37" ht="15.75"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19"/>
      <c r="AG131" s="101"/>
      <c r="AH131" s="101"/>
      <c r="AI131" s="101"/>
      <c r="AJ131" s="101"/>
      <c r="AK131" s="101"/>
    </row>
    <row r="132" spans="3:37" ht="15.75"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19"/>
      <c r="AG132" s="101"/>
      <c r="AH132" s="101"/>
      <c r="AI132" s="101"/>
      <c r="AJ132" s="101"/>
      <c r="AK132" s="101"/>
    </row>
    <row r="133" spans="3:37" ht="15.75"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19"/>
      <c r="AG133" s="101"/>
      <c r="AH133" s="101"/>
      <c r="AI133" s="101"/>
      <c r="AJ133" s="101"/>
      <c r="AK133" s="101"/>
    </row>
    <row r="134" spans="3:37" ht="15.75"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19"/>
      <c r="AG134" s="101"/>
      <c r="AH134" s="101"/>
      <c r="AI134" s="101"/>
      <c r="AJ134" s="101"/>
      <c r="AK134" s="101"/>
    </row>
    <row r="135" spans="3:37" ht="15.75"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19"/>
      <c r="AG135" s="101"/>
      <c r="AH135" s="101"/>
      <c r="AI135" s="101"/>
      <c r="AJ135" s="101"/>
      <c r="AK135" s="101"/>
    </row>
    <row r="136" spans="3:37" ht="15.75"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19"/>
      <c r="AG136" s="101"/>
      <c r="AH136" s="101"/>
      <c r="AI136" s="101"/>
      <c r="AJ136" s="101"/>
      <c r="AK136" s="101"/>
    </row>
    <row r="137" spans="3:37" ht="15.75"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19"/>
      <c r="AG137" s="101"/>
      <c r="AH137" s="101"/>
      <c r="AI137" s="101"/>
      <c r="AJ137" s="101"/>
      <c r="AK137" s="101"/>
    </row>
    <row r="138" spans="3:37" ht="15.75"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19"/>
      <c r="AG138" s="101"/>
      <c r="AH138" s="101"/>
      <c r="AI138" s="101"/>
      <c r="AJ138" s="101"/>
      <c r="AK138" s="101"/>
    </row>
    <row r="139" spans="3:37" ht="15.75"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19"/>
      <c r="AG139" s="101"/>
      <c r="AH139" s="101"/>
      <c r="AI139" s="101"/>
      <c r="AJ139" s="101"/>
      <c r="AK139" s="101"/>
    </row>
    <row r="140" spans="3:37" ht="15.75"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19"/>
      <c r="AG140" s="101"/>
      <c r="AH140" s="101"/>
      <c r="AI140" s="101"/>
      <c r="AJ140" s="101"/>
      <c r="AK140" s="101"/>
    </row>
    <row r="141" spans="3:37" ht="15.75"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19"/>
      <c r="AG141" s="101"/>
      <c r="AH141" s="101"/>
      <c r="AI141" s="101"/>
      <c r="AJ141" s="101"/>
      <c r="AK141" s="101"/>
    </row>
    <row r="142" spans="3:37" ht="15.75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19"/>
      <c r="AG142" s="101"/>
      <c r="AH142" s="101"/>
      <c r="AI142" s="101"/>
      <c r="AJ142" s="101"/>
      <c r="AK142" s="101"/>
    </row>
    <row r="143" spans="3:37" ht="15.75"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19"/>
      <c r="AG143" s="101"/>
      <c r="AH143" s="101"/>
      <c r="AI143" s="101"/>
      <c r="AJ143" s="101"/>
      <c r="AK143" s="101"/>
    </row>
    <row r="144" spans="3:37" ht="15.75"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19"/>
      <c r="AG144" s="101"/>
      <c r="AH144" s="101"/>
      <c r="AI144" s="101"/>
      <c r="AJ144" s="101"/>
      <c r="AK144" s="101"/>
    </row>
    <row r="145" spans="3:37" ht="15.75"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19"/>
      <c r="AG145" s="101"/>
      <c r="AH145" s="101"/>
      <c r="AI145" s="101"/>
      <c r="AJ145" s="101"/>
      <c r="AK145" s="101"/>
    </row>
    <row r="146" spans="3:37" ht="15.75"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19"/>
      <c r="AG146" s="101"/>
      <c r="AH146" s="101"/>
      <c r="AI146" s="101"/>
      <c r="AJ146" s="101"/>
      <c r="AK146" s="101"/>
    </row>
    <row r="147" spans="3:37" ht="15.75"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19"/>
      <c r="AG147" s="101"/>
      <c r="AH147" s="101"/>
      <c r="AI147" s="101"/>
      <c r="AJ147" s="101"/>
      <c r="AK147" s="101"/>
    </row>
    <row r="148" spans="3:37" ht="15.75"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19"/>
      <c r="AG148" s="101"/>
      <c r="AH148" s="101"/>
      <c r="AI148" s="101"/>
      <c r="AJ148" s="101"/>
      <c r="AK148" s="101"/>
    </row>
    <row r="149" spans="3:37" ht="15.75"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19"/>
      <c r="AG149" s="101"/>
      <c r="AH149" s="101"/>
      <c r="AI149" s="101"/>
      <c r="AJ149" s="101"/>
      <c r="AK149" s="101"/>
    </row>
    <row r="150" spans="3:37" ht="15.75"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19"/>
      <c r="AG150" s="101"/>
      <c r="AH150" s="101"/>
      <c r="AI150" s="101"/>
      <c r="AJ150" s="101"/>
      <c r="AK150" s="101"/>
    </row>
    <row r="151" spans="3:37" ht="15.75"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19"/>
      <c r="AG151" s="101"/>
      <c r="AH151" s="101"/>
      <c r="AI151" s="101"/>
      <c r="AJ151" s="101"/>
      <c r="AK151" s="101"/>
    </row>
    <row r="152" spans="3:37" ht="15.75"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19"/>
      <c r="AG152" s="101"/>
      <c r="AH152" s="101"/>
      <c r="AI152" s="101"/>
      <c r="AJ152" s="101"/>
      <c r="AK152" s="101"/>
    </row>
    <row r="153" spans="3:37" ht="15.75"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19"/>
      <c r="AG153" s="101"/>
      <c r="AH153" s="101"/>
      <c r="AI153" s="101"/>
      <c r="AJ153" s="101"/>
      <c r="AK153" s="101"/>
    </row>
    <row r="154" spans="3:37" ht="15.75"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19"/>
      <c r="AG154" s="101"/>
      <c r="AH154" s="101"/>
      <c r="AI154" s="101"/>
      <c r="AJ154" s="101"/>
      <c r="AK154" s="101"/>
    </row>
    <row r="155" spans="3:37" ht="15.75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19"/>
      <c r="AG155" s="101"/>
      <c r="AH155" s="101"/>
      <c r="AI155" s="101"/>
      <c r="AJ155" s="101"/>
      <c r="AK155" s="101"/>
    </row>
    <row r="156" spans="3:37" ht="15.75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19"/>
      <c r="AG156" s="101"/>
      <c r="AH156" s="101"/>
      <c r="AI156" s="101"/>
      <c r="AJ156" s="101"/>
      <c r="AK156" s="101"/>
    </row>
    <row r="157" spans="3:37" ht="15.75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19"/>
      <c r="AG157" s="101"/>
      <c r="AH157" s="101"/>
      <c r="AI157" s="101"/>
      <c r="AJ157" s="101"/>
      <c r="AK157" s="101"/>
    </row>
    <row r="158" spans="3:37" ht="15.75"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19"/>
      <c r="AG158" s="101"/>
      <c r="AH158" s="101"/>
      <c r="AI158" s="101"/>
      <c r="AJ158" s="101"/>
      <c r="AK158" s="101"/>
    </row>
    <row r="159" spans="3:37" ht="15.75"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19"/>
      <c r="AG159" s="101"/>
      <c r="AH159" s="101"/>
      <c r="AI159" s="101"/>
      <c r="AJ159" s="101"/>
      <c r="AK159" s="101"/>
    </row>
    <row r="160" spans="3:37" ht="15.75"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19"/>
      <c r="AG160" s="101"/>
      <c r="AH160" s="101"/>
      <c r="AI160" s="101"/>
      <c r="AJ160" s="101"/>
      <c r="AK160" s="101"/>
    </row>
    <row r="161" spans="3:37" ht="15.75"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19"/>
      <c r="AG161" s="101"/>
      <c r="AH161" s="101"/>
      <c r="AI161" s="101"/>
      <c r="AJ161" s="101"/>
      <c r="AK161" s="101"/>
    </row>
    <row r="162" spans="3:37" ht="15.75"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19"/>
      <c r="AG162" s="101"/>
      <c r="AH162" s="101"/>
      <c r="AI162" s="101"/>
      <c r="AJ162" s="101"/>
      <c r="AK162" s="101"/>
    </row>
    <row r="163" spans="3:37" ht="15.75"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19"/>
      <c r="AG163" s="101"/>
      <c r="AH163" s="101"/>
      <c r="AI163" s="101"/>
      <c r="AJ163" s="101"/>
      <c r="AK163" s="101"/>
    </row>
    <row r="164" spans="3:37" ht="15.75"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19"/>
      <c r="AG164" s="101"/>
      <c r="AH164" s="101"/>
      <c r="AI164" s="101"/>
      <c r="AJ164" s="101"/>
      <c r="AK164" s="101"/>
    </row>
    <row r="165" spans="3:37" ht="15.75"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19"/>
      <c r="AG165" s="101"/>
      <c r="AH165" s="101"/>
      <c r="AI165" s="101"/>
      <c r="AJ165" s="101"/>
      <c r="AK165" s="101"/>
    </row>
    <row r="166" spans="3:37" ht="15.75"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19"/>
      <c r="AG166" s="101"/>
      <c r="AH166" s="101"/>
      <c r="AI166" s="101"/>
      <c r="AJ166" s="101"/>
      <c r="AK166" s="101"/>
    </row>
    <row r="167" spans="3:37" ht="15.75"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19"/>
      <c r="AG167" s="101"/>
      <c r="AH167" s="101"/>
      <c r="AI167" s="101"/>
      <c r="AJ167" s="101"/>
      <c r="AK167" s="101"/>
    </row>
    <row r="168" spans="3:37" ht="15.75"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19"/>
      <c r="AG168" s="101"/>
      <c r="AH168" s="101"/>
      <c r="AI168" s="101"/>
      <c r="AJ168" s="101"/>
      <c r="AK168" s="101"/>
    </row>
    <row r="169" spans="3:37" ht="15.75"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19"/>
      <c r="AG169" s="101"/>
      <c r="AH169" s="101"/>
      <c r="AI169" s="101"/>
      <c r="AJ169" s="101"/>
      <c r="AK169" s="101"/>
    </row>
    <row r="170" spans="3:37" ht="15.75"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19"/>
      <c r="AG170" s="101"/>
      <c r="AH170" s="101"/>
      <c r="AI170" s="101"/>
      <c r="AJ170" s="101"/>
      <c r="AK170" s="101"/>
    </row>
    <row r="171" spans="3:37" ht="15.75"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19"/>
      <c r="AG171" s="101"/>
      <c r="AH171" s="101"/>
      <c r="AI171" s="101"/>
      <c r="AJ171" s="101"/>
      <c r="AK171" s="101"/>
    </row>
    <row r="172" spans="3:37" ht="15.75"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19"/>
      <c r="AG172" s="101"/>
      <c r="AH172" s="101"/>
      <c r="AI172" s="101"/>
      <c r="AJ172" s="101"/>
      <c r="AK172" s="101"/>
    </row>
    <row r="173" spans="3:37" ht="15.75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19"/>
      <c r="AG173" s="101"/>
      <c r="AH173" s="101"/>
      <c r="AI173" s="101"/>
      <c r="AJ173" s="101"/>
      <c r="AK173" s="101"/>
    </row>
    <row r="174" spans="3:37" ht="15.75"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19"/>
      <c r="AG174" s="101"/>
      <c r="AH174" s="101"/>
      <c r="AI174" s="101"/>
      <c r="AJ174" s="101"/>
      <c r="AK174" s="101"/>
    </row>
    <row r="175" spans="3:37" ht="15.75"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19"/>
      <c r="AG175" s="101"/>
      <c r="AH175" s="101"/>
      <c r="AI175" s="101"/>
      <c r="AJ175" s="101"/>
      <c r="AK175" s="101"/>
    </row>
    <row r="176" spans="3:37" ht="15.75"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19"/>
      <c r="AG176" s="101"/>
      <c r="AH176" s="101"/>
      <c r="AI176" s="101"/>
      <c r="AJ176" s="101"/>
      <c r="AK176" s="101"/>
    </row>
    <row r="177" spans="3:37" ht="15.75"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19"/>
      <c r="AG177" s="101"/>
      <c r="AH177" s="101"/>
      <c r="AI177" s="101"/>
      <c r="AJ177" s="101"/>
      <c r="AK177" s="101"/>
    </row>
    <row r="178" spans="3:37" ht="15.75"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19"/>
      <c r="AG178" s="101"/>
      <c r="AH178" s="101"/>
      <c r="AI178" s="101"/>
      <c r="AJ178" s="101"/>
      <c r="AK178" s="101"/>
    </row>
    <row r="179" spans="3:37" ht="15.75"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19"/>
      <c r="AG179" s="101"/>
      <c r="AH179" s="101"/>
      <c r="AI179" s="101"/>
      <c r="AJ179" s="101"/>
      <c r="AK179" s="101"/>
    </row>
    <row r="180" spans="3:37" ht="15.75"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19"/>
      <c r="AG180" s="101"/>
      <c r="AH180" s="101"/>
      <c r="AI180" s="101"/>
      <c r="AJ180" s="101"/>
      <c r="AK180" s="101"/>
    </row>
    <row r="181" spans="3:37" ht="15.75"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19"/>
      <c r="AG181" s="101"/>
      <c r="AH181" s="101"/>
      <c r="AI181" s="101"/>
      <c r="AJ181" s="101"/>
      <c r="AK181" s="101"/>
    </row>
    <row r="182" spans="3:37" ht="15.75"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19"/>
      <c r="AG182" s="101"/>
      <c r="AH182" s="101"/>
      <c r="AI182" s="101"/>
      <c r="AJ182" s="101"/>
      <c r="AK182" s="101"/>
    </row>
    <row r="183" spans="3:37" ht="15.75"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19"/>
      <c r="AG183" s="101"/>
      <c r="AH183" s="101"/>
      <c r="AI183" s="101"/>
      <c r="AJ183" s="101"/>
      <c r="AK183" s="101"/>
    </row>
    <row r="184" spans="3:37" ht="15.75"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19"/>
      <c r="AG184" s="101"/>
      <c r="AH184" s="101"/>
      <c r="AI184" s="101"/>
      <c r="AJ184" s="101"/>
      <c r="AK184" s="101"/>
    </row>
    <row r="185" spans="3:37" ht="15.75"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19"/>
      <c r="AG185" s="101"/>
      <c r="AH185" s="101"/>
      <c r="AI185" s="101"/>
      <c r="AJ185" s="101"/>
      <c r="AK185" s="101"/>
    </row>
    <row r="186" spans="3:37" ht="15.75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19"/>
      <c r="AG186" s="101"/>
      <c r="AH186" s="101"/>
      <c r="AI186" s="101"/>
      <c r="AJ186" s="101"/>
      <c r="AK186" s="101"/>
    </row>
    <row r="187" spans="3:37" ht="15.75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19"/>
      <c r="AG187" s="101"/>
      <c r="AH187" s="101"/>
      <c r="AI187" s="101"/>
      <c r="AJ187" s="101"/>
      <c r="AK187" s="101"/>
    </row>
    <row r="188" spans="3:37" ht="15.75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19"/>
      <c r="AG188" s="101"/>
      <c r="AH188" s="101"/>
      <c r="AI188" s="101"/>
      <c r="AJ188" s="101"/>
      <c r="AK188" s="101"/>
    </row>
    <row r="189" spans="3:37" ht="15.75"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19"/>
      <c r="AG189" s="101"/>
      <c r="AH189" s="101"/>
      <c r="AI189" s="101"/>
      <c r="AJ189" s="101"/>
      <c r="AK189" s="101"/>
    </row>
    <row r="190" spans="3:37" ht="15.75"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19"/>
      <c r="AG190" s="101"/>
      <c r="AH190" s="101"/>
      <c r="AI190" s="101"/>
      <c r="AJ190" s="101"/>
      <c r="AK190" s="101"/>
    </row>
    <row r="191" spans="3:37" ht="15.75"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19"/>
      <c r="AG191" s="101"/>
      <c r="AH191" s="101"/>
      <c r="AI191" s="101"/>
      <c r="AJ191" s="101"/>
      <c r="AK191" s="101"/>
    </row>
    <row r="192" spans="3:37" ht="15.75"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19"/>
      <c r="AG192" s="101"/>
      <c r="AH192" s="101"/>
      <c r="AI192" s="101"/>
      <c r="AJ192" s="101"/>
      <c r="AK192" s="101"/>
    </row>
    <row r="193" spans="3:37" ht="15.75"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19"/>
      <c r="AG193" s="101"/>
      <c r="AH193" s="101"/>
      <c r="AI193" s="101"/>
      <c r="AJ193" s="101"/>
      <c r="AK193" s="101"/>
    </row>
    <row r="194" spans="3:37" ht="15.75"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19"/>
      <c r="AG194" s="101"/>
      <c r="AH194" s="101"/>
      <c r="AI194" s="101"/>
      <c r="AJ194" s="101"/>
      <c r="AK194" s="101"/>
    </row>
    <row r="195" spans="3:37" ht="15.75"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19"/>
      <c r="AG195" s="101"/>
      <c r="AH195" s="101"/>
      <c r="AI195" s="101"/>
      <c r="AJ195" s="101"/>
      <c r="AK195" s="101"/>
    </row>
    <row r="196" spans="3:37" ht="15.75"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19"/>
      <c r="AG196" s="101"/>
      <c r="AH196" s="101"/>
      <c r="AI196" s="101"/>
      <c r="AJ196" s="101"/>
      <c r="AK196" s="101"/>
    </row>
    <row r="197" spans="3:37" ht="15.75"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19"/>
      <c r="AG197" s="101"/>
      <c r="AH197" s="101"/>
      <c r="AI197" s="101"/>
      <c r="AJ197" s="101"/>
      <c r="AK197" s="101"/>
    </row>
    <row r="198" spans="3:37" ht="15.75"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19"/>
      <c r="AG198" s="101"/>
      <c r="AH198" s="101"/>
      <c r="AI198" s="101"/>
      <c r="AJ198" s="101"/>
      <c r="AK198" s="101"/>
    </row>
    <row r="199" spans="3:37" ht="15.75"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19"/>
      <c r="AG199" s="101"/>
      <c r="AH199" s="101"/>
      <c r="AI199" s="101"/>
      <c r="AJ199" s="101"/>
      <c r="AK199" s="101"/>
    </row>
    <row r="200" spans="3:37" ht="15.75"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19"/>
      <c r="AG200" s="101"/>
      <c r="AH200" s="101"/>
      <c r="AI200" s="101"/>
      <c r="AJ200" s="101"/>
      <c r="AK200" s="101"/>
    </row>
    <row r="201" spans="3:37" ht="15.75"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19"/>
      <c r="AG201" s="101"/>
      <c r="AH201" s="101"/>
      <c r="AI201" s="101"/>
      <c r="AJ201" s="101"/>
      <c r="AK201" s="101"/>
    </row>
    <row r="202" spans="3:37" ht="15.75"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19"/>
      <c r="AG202" s="101"/>
      <c r="AH202" s="101"/>
      <c r="AI202" s="101"/>
      <c r="AJ202" s="101"/>
      <c r="AK202" s="101"/>
    </row>
    <row r="203" spans="3:37" ht="15.75"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19"/>
      <c r="AG203" s="101"/>
      <c r="AH203" s="101"/>
      <c r="AI203" s="101"/>
      <c r="AJ203" s="101"/>
      <c r="AK203" s="101"/>
    </row>
    <row r="204" spans="3:37" ht="15.75"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19"/>
      <c r="AG204" s="101"/>
      <c r="AH204" s="101"/>
      <c r="AI204" s="101"/>
      <c r="AJ204" s="101"/>
      <c r="AK204" s="101"/>
    </row>
    <row r="205" spans="3:37" ht="15.75"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19"/>
      <c r="AG205" s="101"/>
      <c r="AH205" s="101"/>
      <c r="AI205" s="101"/>
      <c r="AJ205" s="101"/>
      <c r="AK205" s="101"/>
    </row>
    <row r="206" spans="3:37" ht="15.75"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19"/>
      <c r="AG206" s="101"/>
      <c r="AH206" s="101"/>
      <c r="AI206" s="101"/>
      <c r="AJ206" s="101"/>
      <c r="AK206" s="101"/>
    </row>
    <row r="207" spans="3:37" ht="15.75"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19"/>
      <c r="AG207" s="101"/>
      <c r="AH207" s="101"/>
      <c r="AI207" s="101"/>
      <c r="AJ207" s="101"/>
      <c r="AK207" s="101"/>
    </row>
    <row r="208" spans="3:37" ht="15.75"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19"/>
      <c r="AG208" s="101"/>
      <c r="AH208" s="101"/>
      <c r="AI208" s="101"/>
      <c r="AJ208" s="101"/>
      <c r="AK208" s="101"/>
    </row>
    <row r="209" spans="3:37" ht="15.75"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19"/>
      <c r="AG209" s="101"/>
      <c r="AH209" s="101"/>
      <c r="AI209" s="101"/>
      <c r="AJ209" s="101"/>
      <c r="AK209" s="101"/>
    </row>
    <row r="210" spans="3:37" ht="15.75"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19"/>
      <c r="AG210" s="101"/>
      <c r="AH210" s="101"/>
      <c r="AI210" s="101"/>
      <c r="AJ210" s="101"/>
      <c r="AK210" s="101"/>
    </row>
    <row r="211" spans="3:37" ht="15.75"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19"/>
      <c r="AG211" s="101"/>
      <c r="AH211" s="101"/>
      <c r="AI211" s="101"/>
      <c r="AJ211" s="101"/>
      <c r="AK211" s="101"/>
    </row>
    <row r="212" spans="3:37" ht="15.75"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19"/>
      <c r="AG212" s="101"/>
      <c r="AH212" s="101"/>
      <c r="AI212" s="101"/>
      <c r="AJ212" s="101"/>
      <c r="AK212" s="101"/>
    </row>
    <row r="213" spans="3:37" ht="15.75"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19"/>
      <c r="AG213" s="101"/>
      <c r="AH213" s="101"/>
      <c r="AI213" s="101"/>
      <c r="AJ213" s="101"/>
      <c r="AK213" s="101"/>
    </row>
    <row r="214" spans="3:37" ht="15.75"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19"/>
      <c r="AG214" s="101"/>
      <c r="AH214" s="101"/>
      <c r="AI214" s="101"/>
      <c r="AJ214" s="101"/>
      <c r="AK214" s="101"/>
    </row>
    <row r="215" spans="3:37" ht="15.75"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19"/>
      <c r="AG215" s="101"/>
      <c r="AH215" s="101"/>
      <c r="AI215" s="101"/>
      <c r="AJ215" s="101"/>
      <c r="AK215" s="101"/>
    </row>
    <row r="216" spans="3:37" ht="15.75"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19"/>
      <c r="AG216" s="101"/>
      <c r="AH216" s="101"/>
      <c r="AI216" s="101"/>
      <c r="AJ216" s="101"/>
      <c r="AK216" s="101"/>
    </row>
    <row r="217" spans="3:37" ht="15.75"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19"/>
      <c r="AG217" s="101"/>
      <c r="AH217" s="101"/>
      <c r="AI217" s="101"/>
      <c r="AJ217" s="101"/>
      <c r="AK217" s="101"/>
    </row>
    <row r="218" spans="3:37" ht="15.75"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19"/>
      <c r="AG218" s="101"/>
      <c r="AH218" s="101"/>
      <c r="AI218" s="101"/>
      <c r="AJ218" s="101"/>
      <c r="AK218" s="101"/>
    </row>
    <row r="219" spans="3:37" ht="15.75"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19"/>
      <c r="AG219" s="101"/>
      <c r="AH219" s="101"/>
      <c r="AI219" s="101"/>
      <c r="AJ219" s="101"/>
      <c r="AK219" s="101"/>
    </row>
    <row r="220" spans="3:37" ht="15.75"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19"/>
      <c r="AG220" s="101"/>
      <c r="AH220" s="101"/>
      <c r="AI220" s="101"/>
      <c r="AJ220" s="101"/>
      <c r="AK220" s="101"/>
    </row>
    <row r="221" spans="3:37" ht="15.75"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19"/>
      <c r="AG221" s="101"/>
      <c r="AH221" s="101"/>
      <c r="AI221" s="101"/>
      <c r="AJ221" s="101"/>
      <c r="AK221" s="101"/>
    </row>
    <row r="222" spans="3:37" ht="15.75"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19"/>
      <c r="AG222" s="101"/>
      <c r="AH222" s="101"/>
      <c r="AI222" s="101"/>
      <c r="AJ222" s="101"/>
      <c r="AK222" s="101"/>
    </row>
    <row r="223" spans="3:37" ht="15.75"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19"/>
      <c r="AG223" s="101"/>
      <c r="AH223" s="101"/>
      <c r="AI223" s="101"/>
      <c r="AJ223" s="101"/>
      <c r="AK223" s="101"/>
    </row>
    <row r="224" spans="3:37" ht="15.75"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19"/>
      <c r="AG224" s="101"/>
      <c r="AH224" s="101"/>
      <c r="AI224" s="101"/>
      <c r="AJ224" s="101"/>
      <c r="AK224" s="101"/>
    </row>
    <row r="225" spans="3:37" ht="15.75"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19"/>
      <c r="AG225" s="101"/>
      <c r="AH225" s="101"/>
      <c r="AI225" s="101"/>
      <c r="AJ225" s="101"/>
      <c r="AK225" s="101"/>
    </row>
    <row r="226" spans="3:37" ht="15.75"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19"/>
      <c r="AG226" s="101"/>
      <c r="AH226" s="101"/>
      <c r="AI226" s="101"/>
      <c r="AJ226" s="101"/>
      <c r="AK226" s="101"/>
    </row>
    <row r="227" spans="3:37" ht="15.75"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19"/>
      <c r="AG227" s="101"/>
      <c r="AH227" s="101"/>
      <c r="AI227" s="101"/>
      <c r="AJ227" s="101"/>
      <c r="AK227" s="101"/>
    </row>
    <row r="228" spans="3:37" ht="15.75"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19"/>
      <c r="AG228" s="101"/>
      <c r="AH228" s="101"/>
      <c r="AI228" s="101"/>
      <c r="AJ228" s="101"/>
      <c r="AK228" s="101"/>
    </row>
    <row r="229" spans="3:37" ht="15.75"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19"/>
      <c r="AG229" s="101"/>
      <c r="AH229" s="101"/>
      <c r="AI229" s="101"/>
      <c r="AJ229" s="101"/>
      <c r="AK229" s="101"/>
    </row>
    <row r="230" spans="3:37" ht="15.75"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19"/>
      <c r="AG230" s="101"/>
      <c r="AH230" s="101"/>
      <c r="AI230" s="101"/>
      <c r="AJ230" s="101"/>
      <c r="AK230" s="101"/>
    </row>
    <row r="231" spans="3:37" ht="15.75"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19"/>
      <c r="AG231" s="101"/>
      <c r="AH231" s="101"/>
      <c r="AI231" s="101"/>
      <c r="AJ231" s="101"/>
      <c r="AK231" s="101"/>
    </row>
    <row r="232" spans="3:37" ht="15.75"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19"/>
      <c r="AG232" s="101"/>
      <c r="AH232" s="101"/>
      <c r="AI232" s="101"/>
      <c r="AJ232" s="101"/>
      <c r="AK232" s="101"/>
    </row>
    <row r="233" spans="3:37" ht="15.75"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19"/>
      <c r="AG233" s="101"/>
      <c r="AH233" s="101"/>
      <c r="AI233" s="101"/>
      <c r="AJ233" s="101"/>
      <c r="AK233" s="101"/>
    </row>
    <row r="234" spans="3:37" ht="15.75"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19"/>
      <c r="AG234" s="101"/>
      <c r="AH234" s="101"/>
      <c r="AI234" s="101"/>
      <c r="AJ234" s="101"/>
      <c r="AK234" s="101"/>
    </row>
    <row r="235" spans="3:37" ht="15.75"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19"/>
      <c r="AG235" s="101"/>
      <c r="AH235" s="101"/>
      <c r="AI235" s="101"/>
      <c r="AJ235" s="101"/>
      <c r="AK235" s="101"/>
    </row>
    <row r="236" spans="3:37" ht="15.75"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19"/>
      <c r="AG236" s="101"/>
      <c r="AH236" s="101"/>
      <c r="AI236" s="101"/>
      <c r="AJ236" s="101"/>
      <c r="AK236" s="101"/>
    </row>
    <row r="237" spans="3:37" ht="15.75"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19"/>
      <c r="AG237" s="101"/>
      <c r="AH237" s="101"/>
      <c r="AI237" s="101"/>
      <c r="AJ237" s="101"/>
      <c r="AK237" s="101"/>
    </row>
    <row r="238" spans="3:37" ht="15.75"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19"/>
      <c r="AG238" s="101"/>
      <c r="AH238" s="101"/>
      <c r="AI238" s="101"/>
      <c r="AJ238" s="101"/>
      <c r="AK238" s="101"/>
    </row>
    <row r="239" spans="3:37" ht="15.75"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19"/>
      <c r="AG239" s="101"/>
      <c r="AH239" s="101"/>
      <c r="AI239" s="101"/>
      <c r="AJ239" s="101"/>
      <c r="AK239" s="101"/>
    </row>
    <row r="240" spans="3:37" ht="15.75"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19"/>
      <c r="AG240" s="101"/>
      <c r="AH240" s="101"/>
      <c r="AI240" s="101"/>
      <c r="AJ240" s="101"/>
      <c r="AK240" s="101"/>
    </row>
    <row r="241" spans="3:37" ht="15.75"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19"/>
      <c r="AG241" s="101"/>
      <c r="AH241" s="101"/>
      <c r="AI241" s="101"/>
      <c r="AJ241" s="101"/>
      <c r="AK241" s="101"/>
    </row>
    <row r="242" spans="3:37" ht="15.75"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19"/>
      <c r="AG242" s="101"/>
      <c r="AH242" s="101"/>
      <c r="AI242" s="101"/>
      <c r="AJ242" s="101"/>
      <c r="AK242" s="101"/>
    </row>
    <row r="243" spans="3:37" ht="15.75"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19"/>
      <c r="AG243" s="101"/>
      <c r="AH243" s="101"/>
      <c r="AI243" s="101"/>
      <c r="AJ243" s="101"/>
      <c r="AK243" s="101"/>
    </row>
    <row r="244" spans="3:37" ht="15.75"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19"/>
      <c r="AG244" s="101"/>
      <c r="AH244" s="101"/>
      <c r="AI244" s="101"/>
      <c r="AJ244" s="101"/>
      <c r="AK244" s="101"/>
    </row>
    <row r="245" spans="3:37" ht="15.75"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19"/>
      <c r="AG245" s="101"/>
      <c r="AH245" s="101"/>
      <c r="AI245" s="101"/>
      <c r="AJ245" s="101"/>
      <c r="AK245" s="101"/>
    </row>
    <row r="246" spans="3:37" ht="15.75"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19"/>
      <c r="AG246" s="101"/>
      <c r="AH246" s="101"/>
      <c r="AI246" s="101"/>
      <c r="AJ246" s="101"/>
      <c r="AK246" s="101"/>
    </row>
    <row r="247" spans="3:37" ht="15.75"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19"/>
      <c r="AG247" s="101"/>
      <c r="AH247" s="101"/>
      <c r="AI247" s="101"/>
      <c r="AJ247" s="101"/>
      <c r="AK247" s="101"/>
    </row>
    <row r="248" spans="3:37" ht="15.75"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19"/>
      <c r="AG248" s="101"/>
      <c r="AH248" s="101"/>
      <c r="AI248" s="101"/>
      <c r="AJ248" s="101"/>
      <c r="AK248" s="101"/>
    </row>
    <row r="249" spans="3:37" ht="15.75"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19"/>
      <c r="AG249" s="101"/>
      <c r="AH249" s="101"/>
      <c r="AI249" s="101"/>
      <c r="AJ249" s="101"/>
      <c r="AK249" s="101"/>
    </row>
    <row r="250" spans="3:37" ht="15.75"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19"/>
      <c r="AG250" s="101"/>
      <c r="AH250" s="101"/>
      <c r="AI250" s="101"/>
      <c r="AJ250" s="101"/>
      <c r="AK250" s="101"/>
    </row>
    <row r="251" spans="3:37" ht="15.75"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19"/>
      <c r="AG251" s="101"/>
      <c r="AH251" s="101"/>
      <c r="AI251" s="101"/>
      <c r="AJ251" s="101"/>
      <c r="AK251" s="101"/>
    </row>
    <row r="252" spans="3:37" ht="15.75"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19"/>
      <c r="AG252" s="101"/>
      <c r="AH252" s="101"/>
      <c r="AI252" s="101"/>
      <c r="AJ252" s="101"/>
      <c r="AK252" s="101"/>
    </row>
    <row r="253" spans="3:37" ht="15.75"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19"/>
      <c r="AG253" s="101"/>
      <c r="AH253" s="101"/>
      <c r="AI253" s="101"/>
      <c r="AJ253" s="101"/>
      <c r="AK253" s="101"/>
    </row>
    <row r="254" spans="3:37" ht="15.75"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19"/>
      <c r="AG254" s="101"/>
      <c r="AH254" s="101"/>
      <c r="AI254" s="101"/>
      <c r="AJ254" s="101"/>
      <c r="AK254" s="101"/>
    </row>
    <row r="255" spans="3:37" ht="15.75"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19"/>
      <c r="AG255" s="101"/>
      <c r="AH255" s="101"/>
      <c r="AI255" s="101"/>
      <c r="AJ255" s="101"/>
      <c r="AK255" s="101"/>
    </row>
    <row r="256" spans="3:37" ht="15.75"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19"/>
      <c r="AG256" s="101"/>
      <c r="AH256" s="101"/>
      <c r="AI256" s="101"/>
      <c r="AJ256" s="101"/>
      <c r="AK256" s="101"/>
    </row>
    <row r="257" spans="3:37" ht="15.75"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19"/>
      <c r="AG257" s="101"/>
      <c r="AH257" s="101"/>
      <c r="AI257" s="101"/>
      <c r="AJ257" s="101"/>
      <c r="AK257" s="101"/>
    </row>
    <row r="258" spans="3:37" ht="15.75"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19"/>
      <c r="AG258" s="101"/>
      <c r="AH258" s="101"/>
      <c r="AI258" s="101"/>
      <c r="AJ258" s="101"/>
      <c r="AK258" s="101"/>
    </row>
    <row r="259" spans="3:37" ht="15.75"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19"/>
      <c r="AG259" s="101"/>
      <c r="AH259" s="101"/>
      <c r="AI259" s="101"/>
      <c r="AJ259" s="101"/>
      <c r="AK259" s="101"/>
    </row>
    <row r="260" spans="3:37" ht="15.75"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19"/>
      <c r="AG260" s="101"/>
      <c r="AH260" s="101"/>
      <c r="AI260" s="101"/>
      <c r="AJ260" s="101"/>
      <c r="AK260" s="101"/>
    </row>
    <row r="261" spans="3:37" ht="15.75"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19"/>
      <c r="AG261" s="101"/>
      <c r="AH261" s="101"/>
      <c r="AI261" s="101"/>
      <c r="AJ261" s="101"/>
      <c r="AK261" s="101"/>
    </row>
    <row r="262" spans="3:37" ht="15.75"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19"/>
      <c r="AG262" s="101"/>
      <c r="AH262" s="101"/>
      <c r="AI262" s="101"/>
      <c r="AJ262" s="101"/>
      <c r="AK262" s="101"/>
    </row>
    <row r="263" spans="3:37" ht="15.75"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19"/>
      <c r="AG263" s="101"/>
      <c r="AH263" s="101"/>
      <c r="AI263" s="101"/>
      <c r="AJ263" s="101"/>
      <c r="AK263" s="101"/>
    </row>
    <row r="264" spans="3:37" ht="15.75"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19"/>
      <c r="AG264" s="101"/>
      <c r="AH264" s="101"/>
      <c r="AI264" s="101"/>
      <c r="AJ264" s="101"/>
      <c r="AK264" s="101"/>
    </row>
    <row r="265" spans="3:37" ht="15.75"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19"/>
      <c r="AG265" s="101"/>
      <c r="AH265" s="101"/>
      <c r="AI265" s="101"/>
      <c r="AJ265" s="101"/>
      <c r="AK265" s="101"/>
    </row>
    <row r="266" spans="3:37" ht="15.75"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19"/>
      <c r="AG266" s="101"/>
      <c r="AH266" s="101"/>
      <c r="AI266" s="101"/>
      <c r="AJ266" s="101"/>
      <c r="AK266" s="101"/>
    </row>
    <row r="267" spans="3:37" ht="15.75"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19"/>
      <c r="AG267" s="101"/>
      <c r="AH267" s="101"/>
      <c r="AI267" s="101"/>
      <c r="AJ267" s="101"/>
      <c r="AK267" s="101"/>
    </row>
    <row r="268" spans="3:37" ht="15.75"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19"/>
      <c r="AG268" s="101"/>
      <c r="AH268" s="101"/>
      <c r="AI268" s="101"/>
      <c r="AJ268" s="101"/>
      <c r="AK268" s="101"/>
    </row>
    <row r="269" spans="3:37" ht="15.75"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19"/>
      <c r="AG269" s="101"/>
      <c r="AH269" s="101"/>
      <c r="AI269" s="101"/>
      <c r="AJ269" s="101"/>
      <c r="AK269" s="101"/>
    </row>
    <row r="270" spans="3:37" ht="15.75"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19"/>
      <c r="AG270" s="101"/>
      <c r="AH270" s="101"/>
      <c r="AI270" s="101"/>
      <c r="AJ270" s="101"/>
      <c r="AK270" s="101"/>
    </row>
    <row r="271" spans="3:37" ht="15.75"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19"/>
      <c r="AG271" s="101"/>
      <c r="AH271" s="101"/>
      <c r="AI271" s="101"/>
      <c r="AJ271" s="101"/>
      <c r="AK271" s="101"/>
    </row>
    <row r="272" spans="3:37" ht="15.75"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19"/>
      <c r="AG272" s="101"/>
      <c r="AH272" s="101"/>
      <c r="AI272" s="101"/>
      <c r="AJ272" s="101"/>
      <c r="AK272" s="101"/>
    </row>
    <row r="273" spans="3:37" ht="15.75"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19"/>
      <c r="AG273" s="101"/>
      <c r="AH273" s="101"/>
      <c r="AI273" s="101"/>
      <c r="AJ273" s="101"/>
      <c r="AK273" s="101"/>
    </row>
    <row r="274" spans="3:37" ht="15.75"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19"/>
      <c r="AG274" s="101"/>
      <c r="AH274" s="101"/>
      <c r="AI274" s="101"/>
      <c r="AJ274" s="101"/>
      <c r="AK274" s="101"/>
    </row>
    <row r="275" spans="3:37" ht="15.75"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19"/>
      <c r="AG275" s="101"/>
      <c r="AH275" s="101"/>
      <c r="AI275" s="101"/>
      <c r="AJ275" s="101"/>
      <c r="AK275" s="101"/>
    </row>
    <row r="276" spans="3:37" ht="15.75"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19"/>
      <c r="AG276" s="101"/>
      <c r="AH276" s="101"/>
      <c r="AI276" s="101"/>
      <c r="AJ276" s="101"/>
      <c r="AK276" s="101"/>
    </row>
    <row r="277" spans="3:37" ht="15.75"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19"/>
      <c r="AG277" s="101"/>
      <c r="AH277" s="101"/>
      <c r="AI277" s="101"/>
      <c r="AJ277" s="101"/>
      <c r="AK277" s="101"/>
    </row>
    <row r="278" spans="3:37" ht="15.75"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19"/>
      <c r="AG278" s="101"/>
      <c r="AH278" s="101"/>
      <c r="AI278" s="101"/>
      <c r="AJ278" s="101"/>
      <c r="AK278" s="101"/>
    </row>
    <row r="279" spans="3:37" ht="15.75"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19"/>
      <c r="AG279" s="101"/>
      <c r="AH279" s="101"/>
      <c r="AI279" s="101"/>
      <c r="AJ279" s="101"/>
      <c r="AK279" s="101"/>
    </row>
    <row r="280" spans="3:37" ht="15.75"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19"/>
      <c r="AG280" s="101"/>
      <c r="AH280" s="101"/>
      <c r="AI280" s="101"/>
      <c r="AJ280" s="101"/>
      <c r="AK280" s="101"/>
    </row>
    <row r="281" spans="3:37" ht="15.75"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19"/>
      <c r="AG281" s="101"/>
      <c r="AH281" s="101"/>
      <c r="AI281" s="101"/>
      <c r="AJ281" s="101"/>
      <c r="AK281" s="101"/>
    </row>
    <row r="282" spans="3:37" ht="15.75"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19"/>
      <c r="AG282" s="101"/>
      <c r="AH282" s="101"/>
      <c r="AI282" s="101"/>
      <c r="AJ282" s="101"/>
      <c r="AK282" s="101"/>
    </row>
    <row r="283" spans="3:37" ht="15.75"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19"/>
      <c r="AG283" s="101"/>
      <c r="AH283" s="101"/>
      <c r="AI283" s="101"/>
      <c r="AJ283" s="101"/>
      <c r="AK283" s="101"/>
    </row>
    <row r="284" spans="3:37" ht="15.75"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19"/>
      <c r="AG284" s="101"/>
      <c r="AH284" s="101"/>
      <c r="AI284" s="101"/>
      <c r="AJ284" s="101"/>
      <c r="AK284" s="101"/>
    </row>
    <row r="285" spans="3:37" ht="15.75"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19"/>
      <c r="AG285" s="101"/>
      <c r="AH285" s="101"/>
      <c r="AI285" s="101"/>
      <c r="AJ285" s="101"/>
      <c r="AK285" s="101"/>
    </row>
    <row r="286" spans="3:37" ht="15.75"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19"/>
      <c r="AG286" s="101"/>
      <c r="AH286" s="101"/>
      <c r="AI286" s="101"/>
      <c r="AJ286" s="101"/>
      <c r="AK286" s="101"/>
    </row>
    <row r="287" spans="3:37" ht="15.75"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19"/>
      <c r="AG287" s="101"/>
      <c r="AH287" s="101"/>
      <c r="AI287" s="101"/>
      <c r="AJ287" s="101"/>
      <c r="AK287" s="101"/>
    </row>
    <row r="288" spans="3:37" ht="15.75"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19"/>
      <c r="AG288" s="101"/>
      <c r="AH288" s="101"/>
      <c r="AI288" s="101"/>
      <c r="AJ288" s="101"/>
      <c r="AK288" s="101"/>
    </row>
    <row r="289" spans="3:37" ht="15.75"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19"/>
      <c r="AG289" s="101"/>
      <c r="AH289" s="101"/>
      <c r="AI289" s="101"/>
      <c r="AJ289" s="101"/>
      <c r="AK289" s="101"/>
    </row>
    <row r="290" spans="3:37" ht="15.75"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19"/>
      <c r="AG290" s="101"/>
      <c r="AH290" s="101"/>
      <c r="AI290" s="101"/>
      <c r="AJ290" s="101"/>
      <c r="AK290" s="101"/>
    </row>
    <row r="291" spans="3:37" ht="15.75"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19"/>
      <c r="AG291" s="101"/>
      <c r="AH291" s="101"/>
      <c r="AI291" s="101"/>
      <c r="AJ291" s="101"/>
      <c r="AK291" s="101"/>
    </row>
    <row r="292" spans="3:37" ht="15.75"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19"/>
      <c r="AG292" s="101"/>
      <c r="AH292" s="101"/>
      <c r="AI292" s="101"/>
      <c r="AJ292" s="101"/>
      <c r="AK292" s="101"/>
    </row>
    <row r="293" spans="3:37" ht="15.75"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19"/>
      <c r="AG293" s="101"/>
      <c r="AH293" s="101"/>
      <c r="AI293" s="101"/>
      <c r="AJ293" s="101"/>
      <c r="AK293" s="101"/>
    </row>
    <row r="294" spans="3:37" ht="15.75"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19"/>
      <c r="AG294" s="101"/>
      <c r="AH294" s="101"/>
      <c r="AI294" s="101"/>
      <c r="AJ294" s="101"/>
      <c r="AK294" s="101"/>
    </row>
    <row r="295" spans="3:37" ht="15.75"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19"/>
      <c r="AG295" s="101"/>
      <c r="AH295" s="101"/>
      <c r="AI295" s="101"/>
      <c r="AJ295" s="101"/>
      <c r="AK295" s="101"/>
    </row>
    <row r="296" spans="3:37" ht="15.75"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19"/>
      <c r="AG296" s="101"/>
      <c r="AH296" s="101"/>
      <c r="AI296" s="101"/>
      <c r="AJ296" s="101"/>
      <c r="AK296" s="101"/>
    </row>
    <row r="297" spans="3:37" ht="15.75"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19"/>
      <c r="AG297" s="101"/>
      <c r="AH297" s="101"/>
      <c r="AI297" s="101"/>
      <c r="AJ297" s="101"/>
      <c r="AK297" s="101"/>
    </row>
    <row r="298" spans="3:37" ht="15.75"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19"/>
      <c r="AG298" s="101"/>
      <c r="AH298" s="101"/>
      <c r="AI298" s="101"/>
      <c r="AJ298" s="101"/>
      <c r="AK298" s="101"/>
    </row>
    <row r="299" spans="3:37" ht="15.75"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19"/>
      <c r="AG299" s="101"/>
      <c r="AH299" s="101"/>
      <c r="AI299" s="101"/>
      <c r="AJ299" s="101"/>
      <c r="AK299" s="101"/>
    </row>
    <row r="300" spans="3:37" ht="15.75"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19"/>
      <c r="AG300" s="101"/>
      <c r="AH300" s="101"/>
      <c r="AI300" s="101"/>
      <c r="AJ300" s="101"/>
      <c r="AK300" s="101"/>
    </row>
    <row r="301" spans="3:37" ht="15.75"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19"/>
      <c r="AG301" s="101"/>
      <c r="AH301" s="101"/>
      <c r="AI301" s="101"/>
      <c r="AJ301" s="101"/>
      <c r="AK301" s="101"/>
    </row>
    <row r="302" spans="3:37" ht="15.75"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19"/>
      <c r="AG302" s="101"/>
      <c r="AH302" s="101"/>
      <c r="AI302" s="101"/>
      <c r="AJ302" s="101"/>
      <c r="AK302" s="101"/>
    </row>
    <row r="303" spans="3:37" ht="15.75"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19"/>
      <c r="AG303" s="101"/>
      <c r="AH303" s="101"/>
      <c r="AI303" s="101"/>
      <c r="AJ303" s="101"/>
      <c r="AK303" s="101"/>
    </row>
    <row r="304" spans="3:37" ht="15.75"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19"/>
      <c r="AG304" s="101"/>
      <c r="AH304" s="101"/>
      <c r="AI304" s="101"/>
      <c r="AJ304" s="101"/>
      <c r="AK304" s="101"/>
    </row>
    <row r="305" spans="3:37" ht="15.75"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19"/>
      <c r="AG305" s="101"/>
      <c r="AH305" s="101"/>
      <c r="AI305" s="101"/>
      <c r="AJ305" s="101"/>
      <c r="AK305" s="101"/>
    </row>
    <row r="306" spans="3:37" ht="15.75"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19"/>
      <c r="AG306" s="101"/>
      <c r="AH306" s="101"/>
      <c r="AI306" s="101"/>
      <c r="AJ306" s="101"/>
      <c r="AK306" s="101"/>
    </row>
    <row r="307" spans="3:37" ht="15.75"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19"/>
      <c r="AG307" s="101"/>
      <c r="AH307" s="101"/>
      <c r="AI307" s="101"/>
      <c r="AJ307" s="101"/>
      <c r="AK307" s="101"/>
    </row>
    <row r="308" spans="3:37" ht="15.75"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19"/>
      <c r="AG308" s="101"/>
      <c r="AH308" s="101"/>
      <c r="AI308" s="101"/>
      <c r="AJ308" s="101"/>
      <c r="AK308" s="101"/>
    </row>
    <row r="309" spans="3:37" ht="15.75"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19"/>
      <c r="AG309" s="101"/>
      <c r="AH309" s="101"/>
      <c r="AI309" s="101"/>
      <c r="AJ309" s="101"/>
      <c r="AK309" s="101"/>
    </row>
    <row r="310" spans="3:37" ht="15.75"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19"/>
      <c r="AG310" s="101"/>
      <c r="AH310" s="101"/>
      <c r="AI310" s="101"/>
      <c r="AJ310" s="101"/>
      <c r="AK310" s="101"/>
    </row>
    <row r="311" spans="3:37" ht="15.75"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19"/>
      <c r="AG311" s="101"/>
      <c r="AH311" s="101"/>
      <c r="AI311" s="101"/>
      <c r="AJ311" s="101"/>
      <c r="AK311" s="101"/>
    </row>
    <row r="312" spans="3:37" ht="15.75"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19"/>
      <c r="AG312" s="101"/>
      <c r="AH312" s="101"/>
      <c r="AI312" s="101"/>
      <c r="AJ312" s="101"/>
      <c r="AK312" s="101"/>
    </row>
    <row r="313" spans="3:37" ht="15.75"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19"/>
      <c r="AG313" s="101"/>
      <c r="AH313" s="101"/>
      <c r="AI313" s="101"/>
      <c r="AJ313" s="101"/>
      <c r="AK313" s="101"/>
    </row>
    <row r="314" spans="3:37" ht="15.75"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19"/>
      <c r="AG314" s="101"/>
      <c r="AH314" s="101"/>
      <c r="AI314" s="101"/>
      <c r="AJ314" s="101"/>
      <c r="AK314" s="101"/>
    </row>
    <row r="315" spans="3:37" ht="15.75"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19"/>
      <c r="AG315" s="101"/>
      <c r="AH315" s="101"/>
      <c r="AI315" s="101"/>
      <c r="AJ315" s="101"/>
      <c r="AK315" s="101"/>
    </row>
    <row r="316" spans="3:37" ht="15.75"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19"/>
      <c r="AG316" s="101"/>
      <c r="AH316" s="101"/>
      <c r="AI316" s="101"/>
      <c r="AJ316" s="101"/>
      <c r="AK316" s="101"/>
    </row>
    <row r="317" spans="3:37" ht="15.75"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19"/>
      <c r="AG317" s="101"/>
      <c r="AH317" s="101"/>
      <c r="AI317" s="101"/>
      <c r="AJ317" s="101"/>
      <c r="AK317" s="101"/>
    </row>
    <row r="318" spans="3:37" ht="15.75"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19"/>
      <c r="AG318" s="101"/>
      <c r="AH318" s="101"/>
      <c r="AI318" s="101"/>
      <c r="AJ318" s="101"/>
      <c r="AK318" s="101"/>
    </row>
    <row r="319" spans="3:37" ht="15.75"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19"/>
      <c r="AG319" s="101"/>
      <c r="AH319" s="101"/>
      <c r="AI319" s="101"/>
      <c r="AJ319" s="101"/>
      <c r="AK319" s="101"/>
    </row>
    <row r="320" spans="3:37" ht="15.75"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19"/>
      <c r="AG320" s="101"/>
      <c r="AH320" s="101"/>
      <c r="AI320" s="101"/>
      <c r="AJ320" s="101"/>
      <c r="AK320" s="101"/>
    </row>
    <row r="321" spans="3:37" ht="15.75"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19"/>
      <c r="AG321" s="101"/>
      <c r="AH321" s="101"/>
      <c r="AI321" s="101"/>
      <c r="AJ321" s="101"/>
      <c r="AK321" s="101"/>
    </row>
    <row r="322" spans="3:37" ht="15.75"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19"/>
      <c r="AG322" s="101"/>
      <c r="AH322" s="101"/>
      <c r="AI322" s="101"/>
      <c r="AJ322" s="101"/>
      <c r="AK322" s="101"/>
    </row>
    <row r="323" spans="3:37" ht="15.75"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19"/>
      <c r="AG323" s="101"/>
      <c r="AH323" s="101"/>
      <c r="AI323" s="101"/>
      <c r="AJ323" s="101"/>
      <c r="AK323" s="101"/>
    </row>
    <row r="324" spans="3:37" ht="15.75"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19"/>
      <c r="AG324" s="101"/>
      <c r="AH324" s="101"/>
      <c r="AI324" s="101"/>
      <c r="AJ324" s="101"/>
      <c r="AK324" s="101"/>
    </row>
    <row r="325" spans="3:37" ht="15.75"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19"/>
      <c r="AG325" s="101"/>
      <c r="AH325" s="101"/>
      <c r="AI325" s="101"/>
      <c r="AJ325" s="101"/>
      <c r="AK325" s="101"/>
    </row>
    <row r="326" spans="3:37" ht="15.75"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19"/>
      <c r="AG326" s="101"/>
      <c r="AH326" s="101"/>
      <c r="AI326" s="101"/>
      <c r="AJ326" s="101"/>
      <c r="AK326" s="101"/>
    </row>
    <row r="327" spans="3:37" ht="15.75"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19"/>
      <c r="AG327" s="101"/>
      <c r="AH327" s="101"/>
      <c r="AI327" s="101"/>
      <c r="AJ327" s="101"/>
      <c r="AK327" s="101"/>
    </row>
    <row r="328" spans="3:37" ht="15.75"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19"/>
      <c r="AG328" s="101"/>
      <c r="AH328" s="101"/>
      <c r="AI328" s="101"/>
      <c r="AJ328" s="101"/>
      <c r="AK328" s="101"/>
    </row>
    <row r="329" spans="3:37" ht="15.75"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19"/>
      <c r="AG329" s="101"/>
      <c r="AH329" s="101"/>
      <c r="AI329" s="101"/>
      <c r="AJ329" s="101"/>
      <c r="AK329" s="101"/>
    </row>
    <row r="330" spans="3:37" ht="15.75"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19"/>
      <c r="AG330" s="101"/>
      <c r="AH330" s="101"/>
      <c r="AI330" s="101"/>
      <c r="AJ330" s="101"/>
      <c r="AK330" s="101"/>
    </row>
    <row r="331" spans="3:37" ht="15.75"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19"/>
      <c r="AG331" s="101"/>
      <c r="AH331" s="101"/>
      <c r="AI331" s="101"/>
      <c r="AJ331" s="101"/>
      <c r="AK331" s="101"/>
    </row>
    <row r="332" spans="3:37" ht="15.75"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19"/>
      <c r="AG332" s="101"/>
      <c r="AH332" s="101"/>
      <c r="AI332" s="101"/>
      <c r="AJ332" s="101"/>
      <c r="AK332" s="101"/>
    </row>
    <row r="333" spans="3:37" ht="15.75"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19"/>
      <c r="AG333" s="101"/>
      <c r="AH333" s="101"/>
      <c r="AI333" s="101"/>
      <c r="AJ333" s="101"/>
      <c r="AK333" s="101"/>
    </row>
    <row r="334" spans="3:37" ht="15.75"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19"/>
      <c r="AG334" s="101"/>
      <c r="AH334" s="101"/>
      <c r="AI334" s="101"/>
      <c r="AJ334" s="101"/>
      <c r="AK334" s="101"/>
    </row>
    <row r="335" spans="3:37" ht="15.75"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19"/>
      <c r="AG335" s="101"/>
      <c r="AH335" s="101"/>
      <c r="AI335" s="101"/>
      <c r="AJ335" s="101"/>
      <c r="AK335" s="101"/>
    </row>
    <row r="336" spans="3:37" ht="15.75"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19"/>
      <c r="AG336" s="101"/>
      <c r="AH336" s="101"/>
      <c r="AI336" s="101"/>
      <c r="AJ336" s="101"/>
      <c r="AK336" s="101"/>
    </row>
    <row r="337" spans="3:37" ht="15.75"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19"/>
      <c r="AG337" s="101"/>
      <c r="AH337" s="101"/>
      <c r="AI337" s="101"/>
      <c r="AJ337" s="101"/>
      <c r="AK337" s="101"/>
    </row>
    <row r="338" spans="3:37" ht="15.75"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19"/>
      <c r="AG338" s="101"/>
      <c r="AH338" s="101"/>
      <c r="AI338" s="101"/>
      <c r="AJ338" s="101"/>
      <c r="AK338" s="101"/>
    </row>
    <row r="339" spans="3:37" ht="15.75"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19"/>
      <c r="AG339" s="101"/>
      <c r="AH339" s="101"/>
      <c r="AI339" s="101"/>
      <c r="AJ339" s="101"/>
      <c r="AK339" s="101"/>
    </row>
    <row r="340" spans="3:37" ht="15.75"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19"/>
      <c r="AG340" s="101"/>
      <c r="AH340" s="101"/>
      <c r="AI340" s="101"/>
      <c r="AJ340" s="101"/>
      <c r="AK340" s="101"/>
    </row>
    <row r="341" spans="3:37" ht="15.75"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19"/>
      <c r="AG341" s="101"/>
      <c r="AH341" s="101"/>
      <c r="AI341" s="101"/>
      <c r="AJ341" s="101"/>
      <c r="AK341" s="101"/>
    </row>
    <row r="342" spans="3:37" ht="15.75"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19"/>
      <c r="AG342" s="101"/>
      <c r="AH342" s="101"/>
      <c r="AI342" s="101"/>
      <c r="AJ342" s="101"/>
      <c r="AK342" s="101"/>
    </row>
    <row r="343" spans="3:37" ht="15.75"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19"/>
      <c r="AG343" s="101"/>
      <c r="AH343" s="101"/>
      <c r="AI343" s="101"/>
      <c r="AJ343" s="101"/>
      <c r="AK343" s="101"/>
    </row>
    <row r="344" spans="3:37" ht="15.75"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19"/>
      <c r="AG344" s="101"/>
      <c r="AH344" s="101"/>
      <c r="AI344" s="101"/>
      <c r="AJ344" s="101"/>
      <c r="AK344" s="101"/>
    </row>
    <row r="345" spans="3:37" ht="15.75"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19"/>
      <c r="AG345" s="101"/>
      <c r="AH345" s="101"/>
      <c r="AI345" s="101"/>
      <c r="AJ345" s="101"/>
      <c r="AK345" s="101"/>
    </row>
    <row r="346" spans="3:37" ht="15.75"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19"/>
      <c r="AG346" s="101"/>
      <c r="AH346" s="101"/>
      <c r="AI346" s="101"/>
      <c r="AJ346" s="101"/>
      <c r="AK346" s="101"/>
    </row>
    <row r="347" spans="3:37" ht="15.75"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19"/>
      <c r="AG347" s="101"/>
      <c r="AH347" s="101"/>
      <c r="AI347" s="101"/>
      <c r="AJ347" s="101"/>
      <c r="AK347" s="101"/>
    </row>
    <row r="348" spans="3:37" ht="15.75"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19"/>
      <c r="AG348" s="101"/>
      <c r="AH348" s="101"/>
      <c r="AI348" s="101"/>
      <c r="AJ348" s="101"/>
      <c r="AK348" s="101"/>
    </row>
    <row r="349" spans="3:37" ht="15.75"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19"/>
      <c r="AG349" s="101"/>
      <c r="AH349" s="101"/>
      <c r="AI349" s="101"/>
      <c r="AJ349" s="101"/>
      <c r="AK349" s="101"/>
    </row>
    <row r="350" spans="3:37" ht="15.75"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19"/>
      <c r="AG350" s="101"/>
      <c r="AH350" s="101"/>
      <c r="AI350" s="101"/>
      <c r="AJ350" s="101"/>
      <c r="AK350" s="101"/>
    </row>
    <row r="351" spans="3:37" ht="15.75"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19"/>
      <c r="AG351" s="101"/>
      <c r="AH351" s="101"/>
      <c r="AI351" s="101"/>
      <c r="AJ351" s="101"/>
      <c r="AK351" s="101"/>
    </row>
    <row r="352" spans="3:37" ht="15.75"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19"/>
      <c r="AG352" s="101"/>
      <c r="AH352" s="101"/>
      <c r="AI352" s="101"/>
      <c r="AJ352" s="101"/>
      <c r="AK352" s="101"/>
    </row>
    <row r="353" spans="3:37" ht="15.75"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19"/>
      <c r="AG353" s="101"/>
      <c r="AH353" s="101"/>
      <c r="AI353" s="101"/>
      <c r="AJ353" s="101"/>
      <c r="AK353" s="101"/>
    </row>
    <row r="354" spans="3:37" ht="15.75"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19"/>
      <c r="AG354" s="101"/>
      <c r="AH354" s="101"/>
      <c r="AI354" s="101"/>
      <c r="AJ354" s="101"/>
      <c r="AK354" s="101"/>
    </row>
    <row r="355" spans="3:37" ht="15.75"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19"/>
      <c r="AG355" s="101"/>
      <c r="AH355" s="101"/>
      <c r="AI355" s="101"/>
      <c r="AJ355" s="101"/>
      <c r="AK355" s="101"/>
    </row>
    <row r="356" spans="3:37" ht="15.75"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19"/>
      <c r="AG356" s="101"/>
      <c r="AH356" s="101"/>
      <c r="AI356" s="101"/>
      <c r="AJ356" s="101"/>
      <c r="AK356" s="101"/>
    </row>
    <row r="357" spans="3:37" ht="15.75"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19"/>
      <c r="AG357" s="101"/>
      <c r="AH357" s="101"/>
      <c r="AI357" s="101"/>
      <c r="AJ357" s="101"/>
      <c r="AK357" s="101"/>
    </row>
    <row r="358" spans="3:37" ht="15.75"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19"/>
      <c r="AG358" s="101"/>
      <c r="AH358" s="101"/>
      <c r="AI358" s="101"/>
      <c r="AJ358" s="101"/>
      <c r="AK358" s="101"/>
    </row>
    <row r="359" spans="3:37" ht="15.75"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19"/>
      <c r="AG359" s="101"/>
      <c r="AH359" s="101"/>
      <c r="AI359" s="101"/>
      <c r="AJ359" s="101"/>
      <c r="AK359" s="101"/>
    </row>
    <row r="360" spans="3:37" ht="15.75"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19"/>
      <c r="AG360" s="101"/>
      <c r="AH360" s="101"/>
      <c r="AI360" s="101"/>
      <c r="AJ360" s="101"/>
      <c r="AK360" s="101"/>
    </row>
    <row r="361" spans="3:37" ht="15.75"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19"/>
      <c r="AG361" s="101"/>
      <c r="AH361" s="101"/>
      <c r="AI361" s="101"/>
      <c r="AJ361" s="101"/>
      <c r="AK361" s="101"/>
    </row>
    <row r="362" spans="3:37" ht="15.75"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19"/>
      <c r="AG362" s="101"/>
      <c r="AH362" s="101"/>
      <c r="AI362" s="101"/>
      <c r="AJ362" s="101"/>
      <c r="AK362" s="101"/>
    </row>
    <row r="363" spans="3:37" ht="15.75"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19"/>
      <c r="AG363" s="101"/>
      <c r="AH363" s="101"/>
      <c r="AI363" s="101"/>
      <c r="AJ363" s="101"/>
      <c r="AK363" s="101"/>
    </row>
    <row r="364" spans="3:37" ht="15.75"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19"/>
      <c r="AG364" s="101"/>
      <c r="AH364" s="101"/>
      <c r="AI364" s="101"/>
      <c r="AJ364" s="101"/>
      <c r="AK364" s="101"/>
    </row>
    <row r="365" spans="3:37" ht="15.75"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19"/>
      <c r="AG365" s="101"/>
      <c r="AH365" s="101"/>
      <c r="AI365" s="101"/>
      <c r="AJ365" s="101"/>
      <c r="AK365" s="101"/>
    </row>
    <row r="366" spans="3:37" ht="15.75"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19"/>
      <c r="AG366" s="101"/>
      <c r="AH366" s="101"/>
      <c r="AI366" s="101"/>
      <c r="AJ366" s="101"/>
      <c r="AK366" s="101"/>
    </row>
    <row r="367" spans="3:37" ht="15.75"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19"/>
      <c r="AG367" s="101"/>
      <c r="AH367" s="101"/>
      <c r="AI367" s="101"/>
      <c r="AJ367" s="101"/>
      <c r="AK367" s="101"/>
    </row>
    <row r="368" spans="3:37" ht="15.75"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19"/>
      <c r="AG368" s="101"/>
      <c r="AH368" s="101"/>
      <c r="AI368" s="101"/>
      <c r="AJ368" s="101"/>
      <c r="AK368" s="101"/>
    </row>
    <row r="369" spans="3:37" ht="15.75"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19"/>
      <c r="AG369" s="101"/>
      <c r="AH369" s="101"/>
      <c r="AI369" s="101"/>
      <c r="AJ369" s="101"/>
      <c r="AK369" s="101"/>
    </row>
    <row r="370" spans="3:37" ht="15.75"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19"/>
      <c r="AG370" s="101"/>
      <c r="AH370" s="101"/>
      <c r="AI370" s="101"/>
      <c r="AJ370" s="101"/>
      <c r="AK370" s="101"/>
    </row>
    <row r="371" spans="3:37" ht="15.75"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19"/>
      <c r="AG371" s="101"/>
      <c r="AH371" s="101"/>
      <c r="AI371" s="101"/>
      <c r="AJ371" s="101"/>
      <c r="AK371" s="101"/>
    </row>
    <row r="372" spans="3:37" ht="15.75"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19"/>
      <c r="AG372" s="101"/>
      <c r="AH372" s="101"/>
      <c r="AI372" s="101"/>
      <c r="AJ372" s="101"/>
      <c r="AK372" s="101"/>
    </row>
    <row r="373" spans="3:37" ht="15.75"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19"/>
      <c r="AG373" s="101"/>
      <c r="AH373" s="101"/>
      <c r="AI373" s="101"/>
      <c r="AJ373" s="101"/>
      <c r="AK373" s="101"/>
    </row>
    <row r="374" spans="3:37" ht="15.75"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19"/>
      <c r="AG374" s="101"/>
      <c r="AH374" s="101"/>
      <c r="AI374" s="101"/>
      <c r="AJ374" s="101"/>
      <c r="AK374" s="101"/>
    </row>
    <row r="375" spans="3:37" ht="15.75"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19"/>
      <c r="AG375" s="101"/>
      <c r="AH375" s="101"/>
      <c r="AI375" s="101"/>
      <c r="AJ375" s="101"/>
      <c r="AK375" s="101"/>
    </row>
    <row r="376" spans="3:37" ht="15.75"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19"/>
      <c r="AG376" s="101"/>
      <c r="AH376" s="101"/>
      <c r="AI376" s="101"/>
      <c r="AJ376" s="101"/>
      <c r="AK376" s="101"/>
    </row>
    <row r="377" spans="3:37" ht="15.75"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19"/>
      <c r="AG377" s="101"/>
      <c r="AH377" s="101"/>
      <c r="AI377" s="101"/>
      <c r="AJ377" s="101"/>
      <c r="AK377" s="101"/>
    </row>
    <row r="378" spans="3:37" ht="15.75"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19"/>
      <c r="AG378" s="101"/>
      <c r="AH378" s="101"/>
      <c r="AI378" s="101"/>
      <c r="AJ378" s="101"/>
      <c r="AK378" s="101"/>
    </row>
    <row r="379" spans="3:37" ht="15.75"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19"/>
      <c r="AG379" s="101"/>
      <c r="AH379" s="101"/>
      <c r="AI379" s="101"/>
      <c r="AJ379" s="101"/>
      <c r="AK379" s="101"/>
    </row>
    <row r="380" spans="3:37" ht="15.75"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19"/>
      <c r="AG380" s="101"/>
      <c r="AH380" s="101"/>
      <c r="AI380" s="101"/>
      <c r="AJ380" s="101"/>
      <c r="AK380" s="101"/>
    </row>
    <row r="381" spans="3:37" ht="15.75"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19"/>
      <c r="AG381" s="101"/>
      <c r="AH381" s="101"/>
      <c r="AI381" s="101"/>
      <c r="AJ381" s="101"/>
      <c r="AK381" s="101"/>
    </row>
    <row r="382" spans="3:37" ht="15.75"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19"/>
      <c r="AG382" s="101"/>
      <c r="AH382" s="101"/>
      <c r="AI382" s="101"/>
      <c r="AJ382" s="101"/>
      <c r="AK382" s="101"/>
    </row>
    <row r="383" spans="3:37" ht="15.75"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19"/>
      <c r="AG383" s="101"/>
      <c r="AH383" s="101"/>
      <c r="AI383" s="101"/>
      <c r="AJ383" s="101"/>
      <c r="AK383" s="101"/>
    </row>
    <row r="384" spans="3:37" ht="15.75"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19"/>
      <c r="AG384" s="101"/>
      <c r="AH384" s="101"/>
      <c r="AI384" s="101"/>
      <c r="AJ384" s="101"/>
      <c r="AK384" s="101"/>
    </row>
    <row r="385" spans="3:37" ht="15.75"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19"/>
      <c r="AG385" s="101"/>
      <c r="AH385" s="101"/>
      <c r="AI385" s="101"/>
      <c r="AJ385" s="101"/>
      <c r="AK385" s="101"/>
    </row>
    <row r="386" spans="3:37" ht="15.75"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19"/>
      <c r="AG386" s="101"/>
      <c r="AH386" s="101"/>
      <c r="AI386" s="101"/>
      <c r="AJ386" s="101"/>
      <c r="AK386" s="101"/>
    </row>
    <row r="387" spans="3:37" ht="15.75"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19"/>
      <c r="AG387" s="101"/>
      <c r="AH387" s="101"/>
      <c r="AI387" s="101"/>
      <c r="AJ387" s="101"/>
      <c r="AK387" s="101"/>
    </row>
    <row r="388" spans="3:37" ht="15.75"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19"/>
      <c r="AG388" s="101"/>
      <c r="AH388" s="101"/>
      <c r="AI388" s="101"/>
      <c r="AJ388" s="101"/>
      <c r="AK388" s="101"/>
    </row>
    <row r="389" spans="3:37" ht="15.75"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19"/>
      <c r="AG389" s="101"/>
      <c r="AH389" s="101"/>
      <c r="AI389" s="101"/>
      <c r="AJ389" s="101"/>
      <c r="AK389" s="101"/>
    </row>
    <row r="390" spans="3:37" ht="15.75"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19"/>
      <c r="AG390" s="101"/>
      <c r="AH390" s="101"/>
      <c r="AI390" s="101"/>
      <c r="AJ390" s="101"/>
      <c r="AK390" s="101"/>
    </row>
    <row r="391" spans="3:37" ht="15.75"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19"/>
      <c r="AG391" s="101"/>
      <c r="AH391" s="101"/>
      <c r="AI391" s="101"/>
      <c r="AJ391" s="101"/>
      <c r="AK391" s="101"/>
    </row>
    <row r="392" spans="3:37" ht="15.75"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19"/>
      <c r="AG392" s="101"/>
      <c r="AH392" s="101"/>
      <c r="AI392" s="101"/>
      <c r="AJ392" s="101"/>
      <c r="AK392" s="101"/>
    </row>
    <row r="393" spans="3:37" ht="15.75"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19"/>
      <c r="AG393" s="101"/>
      <c r="AH393" s="101"/>
      <c r="AI393" s="101"/>
      <c r="AJ393" s="101"/>
      <c r="AK393" s="101"/>
    </row>
    <row r="394" spans="3:37" ht="15.75"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19"/>
      <c r="AG394" s="101"/>
      <c r="AH394" s="101"/>
      <c r="AI394" s="101"/>
      <c r="AJ394" s="101"/>
      <c r="AK394" s="101"/>
    </row>
    <row r="395" spans="3:37" ht="15.75"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19"/>
      <c r="AG395" s="101"/>
      <c r="AH395" s="101"/>
      <c r="AI395" s="101"/>
      <c r="AJ395" s="101"/>
      <c r="AK395" s="101"/>
    </row>
    <row r="396" spans="3:37" ht="15.75"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19"/>
      <c r="AG396" s="101"/>
      <c r="AH396" s="101"/>
      <c r="AI396" s="101"/>
      <c r="AJ396" s="101"/>
      <c r="AK396" s="101"/>
    </row>
    <row r="397" spans="3:37" ht="15.75"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19"/>
      <c r="AG397" s="101"/>
      <c r="AH397" s="101"/>
      <c r="AI397" s="101"/>
      <c r="AJ397" s="101"/>
      <c r="AK397" s="101"/>
    </row>
    <row r="398" spans="3:37" ht="15.75"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19"/>
      <c r="AG398" s="101"/>
      <c r="AH398" s="101"/>
      <c r="AI398" s="101"/>
      <c r="AJ398" s="101"/>
      <c r="AK398" s="101"/>
    </row>
    <row r="399" spans="3:37" ht="15.75"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19"/>
      <c r="AG399" s="101"/>
      <c r="AH399" s="101"/>
      <c r="AI399" s="101"/>
      <c r="AJ399" s="101"/>
      <c r="AK399" s="101"/>
    </row>
    <row r="400" spans="3:37" ht="15.75"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19"/>
      <c r="AG400" s="101"/>
      <c r="AH400" s="101"/>
      <c r="AI400" s="101"/>
      <c r="AJ400" s="101"/>
      <c r="AK400" s="101"/>
    </row>
    <row r="401" spans="3:37" ht="15.75"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19"/>
      <c r="AG401" s="101"/>
      <c r="AH401" s="101"/>
      <c r="AI401" s="101"/>
      <c r="AJ401" s="101"/>
      <c r="AK401" s="101"/>
    </row>
    <row r="402" spans="3:37" ht="15.75"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19"/>
      <c r="AG402" s="101"/>
      <c r="AH402" s="101"/>
      <c r="AI402" s="101"/>
      <c r="AJ402" s="101"/>
      <c r="AK402" s="101"/>
    </row>
    <row r="403" spans="3:37" ht="15.75"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19"/>
      <c r="AG403" s="101"/>
      <c r="AH403" s="101"/>
      <c r="AI403" s="101"/>
      <c r="AJ403" s="101"/>
      <c r="AK403" s="101"/>
    </row>
    <row r="404" spans="3:37" ht="15.75"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19"/>
      <c r="AG404" s="101"/>
      <c r="AH404" s="101"/>
      <c r="AI404" s="101"/>
      <c r="AJ404" s="101"/>
      <c r="AK404" s="101"/>
    </row>
    <row r="405" spans="3:37" ht="15.75"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19"/>
      <c r="AG405" s="101"/>
      <c r="AH405" s="101"/>
      <c r="AI405" s="101"/>
      <c r="AJ405" s="101"/>
      <c r="AK405" s="101"/>
    </row>
    <row r="406" spans="3:37" ht="15.75"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19"/>
      <c r="AG406" s="101"/>
      <c r="AH406" s="101"/>
      <c r="AI406" s="101"/>
      <c r="AJ406" s="101"/>
      <c r="AK406" s="101"/>
    </row>
    <row r="407" spans="3:37" ht="15.75"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19"/>
      <c r="AG407" s="101"/>
      <c r="AH407" s="101"/>
      <c r="AI407" s="101"/>
      <c r="AJ407" s="101"/>
      <c r="AK407" s="101"/>
    </row>
    <row r="408" spans="3:37" ht="15.75"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19"/>
      <c r="AG408" s="101"/>
      <c r="AH408" s="101"/>
      <c r="AI408" s="101"/>
      <c r="AJ408" s="101"/>
      <c r="AK408" s="101"/>
    </row>
    <row r="409" spans="3:37" ht="15.75"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19"/>
      <c r="AG409" s="101"/>
      <c r="AH409" s="101"/>
      <c r="AI409" s="101"/>
      <c r="AJ409" s="101"/>
      <c r="AK409" s="101"/>
    </row>
    <row r="410" spans="3:37" ht="15.75"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19"/>
      <c r="AG410" s="101"/>
      <c r="AH410" s="101"/>
      <c r="AI410" s="101"/>
      <c r="AJ410" s="101"/>
      <c r="AK410" s="101"/>
    </row>
    <row r="411" spans="3:37" ht="15.75"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19"/>
      <c r="AG411" s="101"/>
      <c r="AH411" s="101"/>
      <c r="AI411" s="101"/>
      <c r="AJ411" s="101"/>
      <c r="AK411" s="101"/>
    </row>
    <row r="412" spans="3:37" ht="15.75"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19"/>
      <c r="AG412" s="101"/>
      <c r="AH412" s="101"/>
      <c r="AI412" s="101"/>
      <c r="AJ412" s="101"/>
      <c r="AK412" s="101"/>
    </row>
    <row r="413" spans="3:37" ht="15.75"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19"/>
      <c r="AG413" s="101"/>
      <c r="AH413" s="101"/>
      <c r="AI413" s="101"/>
      <c r="AJ413" s="101"/>
      <c r="AK413" s="101"/>
    </row>
    <row r="414" spans="3:37" ht="15.75"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19"/>
      <c r="AG414" s="101"/>
      <c r="AH414" s="101"/>
      <c r="AI414" s="101"/>
      <c r="AJ414" s="101"/>
      <c r="AK414" s="101"/>
    </row>
    <row r="415" spans="3:37" ht="15.75"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19"/>
      <c r="AG415" s="101"/>
      <c r="AH415" s="101"/>
      <c r="AI415" s="101"/>
      <c r="AJ415" s="101"/>
      <c r="AK415" s="101"/>
    </row>
    <row r="416" spans="3:37" ht="15.75"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19"/>
      <c r="AG416" s="101"/>
      <c r="AH416" s="101"/>
      <c r="AI416" s="101"/>
      <c r="AJ416" s="101"/>
      <c r="AK416" s="101"/>
    </row>
    <row r="417" spans="3:37" ht="15.75"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19"/>
      <c r="AG417" s="101"/>
      <c r="AH417" s="101"/>
      <c r="AI417" s="101"/>
      <c r="AJ417" s="101"/>
      <c r="AK417" s="101"/>
    </row>
    <row r="418" spans="3:37" ht="15.75"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19"/>
      <c r="AG418" s="101"/>
      <c r="AH418" s="101"/>
      <c r="AI418" s="101"/>
      <c r="AJ418" s="101"/>
      <c r="AK418" s="101"/>
    </row>
    <row r="419" spans="3:37" ht="15.75"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19"/>
      <c r="AG419" s="101"/>
      <c r="AH419" s="101"/>
      <c r="AI419" s="101"/>
      <c r="AJ419" s="101"/>
      <c r="AK419" s="101"/>
    </row>
    <row r="420" spans="3:37" ht="15.75"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19"/>
      <c r="AG420" s="101"/>
      <c r="AH420" s="101"/>
      <c r="AI420" s="101"/>
      <c r="AJ420" s="101"/>
      <c r="AK420" s="101"/>
    </row>
    <row r="421" spans="3:37" ht="15.75"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19"/>
      <c r="AG421" s="101"/>
      <c r="AH421" s="101"/>
      <c r="AI421" s="101"/>
      <c r="AJ421" s="101"/>
      <c r="AK421" s="101"/>
    </row>
    <row r="422" spans="3:37" ht="15.75"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19"/>
      <c r="AG422" s="101"/>
      <c r="AH422" s="101"/>
      <c r="AI422" s="101"/>
      <c r="AJ422" s="101"/>
      <c r="AK422" s="101"/>
    </row>
    <row r="423" spans="3:37" ht="15.75"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19"/>
      <c r="AG423" s="101"/>
      <c r="AH423" s="101"/>
      <c r="AI423" s="101"/>
      <c r="AJ423" s="101"/>
      <c r="AK423" s="101"/>
    </row>
    <row r="424" spans="3:37" ht="15.75"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19"/>
      <c r="AG424" s="101"/>
      <c r="AH424" s="101"/>
      <c r="AI424" s="101"/>
      <c r="AJ424" s="101"/>
      <c r="AK424" s="101"/>
    </row>
    <row r="425" spans="3:37" ht="15.75"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19"/>
      <c r="AG425" s="101"/>
      <c r="AH425" s="101"/>
      <c r="AI425" s="101"/>
      <c r="AJ425" s="101"/>
      <c r="AK425" s="101"/>
    </row>
    <row r="426" spans="3:37" ht="15.75"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19"/>
      <c r="AG426" s="101"/>
      <c r="AH426" s="101"/>
      <c r="AI426" s="101"/>
      <c r="AJ426" s="101"/>
      <c r="AK426" s="101"/>
    </row>
    <row r="427" spans="3:37" ht="15.75"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19"/>
      <c r="AG427" s="101"/>
      <c r="AH427" s="101"/>
      <c r="AI427" s="101"/>
      <c r="AJ427" s="101"/>
      <c r="AK427" s="101"/>
    </row>
    <row r="428" spans="3:37" ht="15.75"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19"/>
      <c r="AG428" s="101"/>
      <c r="AH428" s="101"/>
      <c r="AI428" s="101"/>
      <c r="AJ428" s="101"/>
      <c r="AK428" s="101"/>
    </row>
    <row r="429" spans="3:37" ht="15.75"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19"/>
      <c r="AG429" s="101"/>
      <c r="AH429" s="101"/>
      <c r="AI429" s="101"/>
      <c r="AJ429" s="101"/>
      <c r="AK429" s="101"/>
    </row>
    <row r="430" spans="3:37" ht="15.75"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19"/>
      <c r="AG430" s="101"/>
      <c r="AH430" s="101"/>
      <c r="AI430" s="101"/>
      <c r="AJ430" s="101"/>
      <c r="AK430" s="101"/>
    </row>
    <row r="431" spans="3:37" ht="15.75"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19"/>
      <c r="AG431" s="101"/>
      <c r="AH431" s="101"/>
      <c r="AI431" s="101"/>
      <c r="AJ431" s="101"/>
      <c r="AK431" s="101"/>
    </row>
    <row r="432" spans="3:37" ht="15.75"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19"/>
      <c r="AG432" s="101"/>
      <c r="AH432" s="101"/>
      <c r="AI432" s="101"/>
      <c r="AJ432" s="101"/>
      <c r="AK432" s="101"/>
    </row>
    <row r="433" spans="3:37" ht="15.75"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19"/>
      <c r="AG433" s="101"/>
      <c r="AH433" s="101"/>
      <c r="AI433" s="101"/>
      <c r="AJ433" s="101"/>
      <c r="AK433" s="101"/>
    </row>
    <row r="434" spans="3:37" ht="15.75"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19"/>
      <c r="AG434" s="101"/>
      <c r="AH434" s="101"/>
      <c r="AI434" s="101"/>
      <c r="AJ434" s="101"/>
      <c r="AK434" s="101"/>
    </row>
    <row r="435" spans="3:37" ht="15.75"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19"/>
      <c r="AG435" s="101"/>
      <c r="AH435" s="101"/>
      <c r="AI435" s="101"/>
      <c r="AJ435" s="101"/>
      <c r="AK435" s="101"/>
    </row>
    <row r="436" spans="3:37" ht="15.75"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19"/>
      <c r="AG436" s="101"/>
      <c r="AH436" s="101"/>
      <c r="AI436" s="101"/>
      <c r="AJ436" s="101"/>
      <c r="AK436" s="101"/>
    </row>
    <row r="437" spans="3:37" ht="15.75"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19"/>
      <c r="AG437" s="101"/>
      <c r="AH437" s="101"/>
      <c r="AI437" s="101"/>
      <c r="AJ437" s="101"/>
      <c r="AK437" s="101"/>
    </row>
    <row r="438" spans="3:37" ht="15.75"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19"/>
      <c r="AG438" s="101"/>
      <c r="AH438" s="101"/>
      <c r="AI438" s="101"/>
      <c r="AJ438" s="101"/>
      <c r="AK438" s="101"/>
    </row>
    <row r="439" spans="3:37" ht="15.75"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19"/>
      <c r="AG439" s="101"/>
      <c r="AH439" s="101"/>
      <c r="AI439" s="101"/>
      <c r="AJ439" s="101"/>
      <c r="AK439" s="101"/>
    </row>
    <row r="440" spans="3:37" ht="15.75"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19"/>
      <c r="AG440" s="101"/>
      <c r="AH440" s="101"/>
      <c r="AI440" s="101"/>
      <c r="AJ440" s="101"/>
      <c r="AK440" s="101"/>
    </row>
    <row r="441" spans="3:37" ht="15.75"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19"/>
      <c r="AG441" s="101"/>
      <c r="AH441" s="101"/>
      <c r="AI441" s="101"/>
      <c r="AJ441" s="101"/>
      <c r="AK441" s="101"/>
    </row>
    <row r="442" spans="3:37" ht="15.75"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19"/>
      <c r="AG442" s="101"/>
      <c r="AH442" s="101"/>
      <c r="AI442" s="101"/>
      <c r="AJ442" s="101"/>
      <c r="AK442" s="101"/>
    </row>
    <row r="443" spans="3:37" ht="15.75"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19"/>
      <c r="AG443" s="101"/>
      <c r="AH443" s="101"/>
      <c r="AI443" s="101"/>
      <c r="AJ443" s="101"/>
      <c r="AK443" s="101"/>
    </row>
    <row r="444" spans="3:37" ht="15.75"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19"/>
      <c r="AG444" s="101"/>
      <c r="AH444" s="101"/>
      <c r="AI444" s="101"/>
      <c r="AJ444" s="101"/>
      <c r="AK444" s="101"/>
    </row>
    <row r="445" spans="3:37" ht="15.75"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19"/>
      <c r="AG445" s="101"/>
      <c r="AH445" s="101"/>
      <c r="AI445" s="101"/>
      <c r="AJ445" s="101"/>
      <c r="AK445" s="101"/>
    </row>
    <row r="446" spans="3:37" ht="15.75"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19"/>
      <c r="AG446" s="101"/>
      <c r="AH446" s="101"/>
      <c r="AI446" s="101"/>
      <c r="AJ446" s="101"/>
      <c r="AK446" s="101"/>
    </row>
    <row r="447" spans="3:37" ht="15.75"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19"/>
      <c r="AG447" s="101"/>
      <c r="AH447" s="101"/>
      <c r="AI447" s="101"/>
      <c r="AJ447" s="101"/>
      <c r="AK447" s="101"/>
    </row>
    <row r="448" spans="3:37" ht="15.75"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19"/>
      <c r="AG448" s="101"/>
      <c r="AH448" s="101"/>
      <c r="AI448" s="101"/>
      <c r="AJ448" s="101"/>
      <c r="AK448" s="101"/>
    </row>
    <row r="449" spans="3:37" ht="15.75"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19"/>
      <c r="AG449" s="101"/>
      <c r="AH449" s="101"/>
      <c r="AI449" s="101"/>
      <c r="AJ449" s="101"/>
      <c r="AK449" s="101"/>
    </row>
    <row r="450" spans="3:37" ht="15.75"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19"/>
      <c r="AG450" s="101"/>
      <c r="AH450" s="101"/>
      <c r="AI450" s="101"/>
      <c r="AJ450" s="101"/>
      <c r="AK450" s="101"/>
    </row>
    <row r="451" spans="3:37" ht="15.75"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19"/>
      <c r="AG451" s="101"/>
      <c r="AH451" s="101"/>
      <c r="AI451" s="101"/>
      <c r="AJ451" s="101"/>
      <c r="AK451" s="101"/>
    </row>
    <row r="452" spans="3:37" ht="15.75"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19"/>
      <c r="AG452" s="101"/>
      <c r="AH452" s="101"/>
      <c r="AI452" s="101"/>
      <c r="AJ452" s="101"/>
      <c r="AK452" s="101"/>
    </row>
    <row r="453" spans="3:37" ht="15.75"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19"/>
      <c r="AG453" s="101"/>
      <c r="AH453" s="101"/>
      <c r="AI453" s="101"/>
      <c r="AJ453" s="101"/>
      <c r="AK453" s="101"/>
    </row>
    <row r="454" spans="3:37" ht="15.75"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19"/>
      <c r="AG454" s="101"/>
      <c r="AH454" s="101"/>
      <c r="AI454" s="101"/>
      <c r="AJ454" s="101"/>
      <c r="AK454" s="101"/>
    </row>
    <row r="455" spans="3:37" ht="15.75"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19"/>
      <c r="AG455" s="101"/>
      <c r="AH455" s="101"/>
      <c r="AI455" s="101"/>
      <c r="AJ455" s="101"/>
      <c r="AK455" s="101"/>
    </row>
    <row r="456" spans="3:37" ht="15.75"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19"/>
      <c r="AG456" s="101"/>
      <c r="AH456" s="101"/>
      <c r="AI456" s="101"/>
      <c r="AJ456" s="101"/>
      <c r="AK456" s="101"/>
    </row>
    <row r="457" spans="3:37" ht="15.75"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19"/>
      <c r="AG457" s="101"/>
      <c r="AH457" s="101"/>
      <c r="AI457" s="101"/>
      <c r="AJ457" s="101"/>
      <c r="AK457" s="101"/>
    </row>
    <row r="458" spans="3:37" ht="15.75"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19"/>
      <c r="AG458" s="101"/>
      <c r="AH458" s="101"/>
      <c r="AI458" s="101"/>
      <c r="AJ458" s="101"/>
      <c r="AK458" s="101"/>
    </row>
    <row r="459" spans="3:37" ht="15.75"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19"/>
      <c r="AG459" s="101"/>
      <c r="AH459" s="101"/>
      <c r="AI459" s="101"/>
      <c r="AJ459" s="101"/>
      <c r="AK459" s="101"/>
    </row>
    <row r="460" spans="3:37" ht="15.75"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19"/>
      <c r="AG460" s="101"/>
      <c r="AH460" s="101"/>
      <c r="AI460" s="101"/>
      <c r="AJ460" s="101"/>
      <c r="AK460" s="101"/>
    </row>
    <row r="461" spans="3:37" ht="15.75"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19"/>
      <c r="AG461" s="101"/>
      <c r="AH461" s="101"/>
      <c r="AI461" s="101"/>
      <c r="AJ461" s="101"/>
      <c r="AK461" s="101"/>
    </row>
    <row r="462" spans="3:37" ht="15.75"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19"/>
      <c r="AG462" s="101"/>
      <c r="AH462" s="101"/>
      <c r="AI462" s="101"/>
      <c r="AJ462" s="101"/>
      <c r="AK462" s="101"/>
    </row>
    <row r="463" spans="3:37" ht="15.75"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19"/>
      <c r="AG463" s="101"/>
      <c r="AH463" s="101"/>
      <c r="AI463" s="101"/>
      <c r="AJ463" s="101"/>
      <c r="AK463" s="101"/>
    </row>
    <row r="464" spans="3:37" ht="15.75"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19"/>
      <c r="AG464" s="101"/>
      <c r="AH464" s="101"/>
      <c r="AI464" s="101"/>
      <c r="AJ464" s="101"/>
      <c r="AK464" s="101"/>
    </row>
    <row r="465" spans="3:37" ht="15.75"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19"/>
      <c r="AG465" s="101"/>
      <c r="AH465" s="101"/>
      <c r="AI465" s="101"/>
      <c r="AJ465" s="101"/>
      <c r="AK465" s="101"/>
    </row>
    <row r="466" spans="3:37" ht="15.75"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19"/>
      <c r="AG466" s="101"/>
      <c r="AH466" s="101"/>
      <c r="AI466" s="101"/>
      <c r="AJ466" s="101"/>
      <c r="AK466" s="101"/>
    </row>
    <row r="467" spans="3:37" ht="15.75"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19"/>
      <c r="AG467" s="101"/>
      <c r="AH467" s="101"/>
      <c r="AI467" s="101"/>
      <c r="AJ467" s="101"/>
      <c r="AK467" s="101"/>
    </row>
    <row r="468" spans="3:37" ht="15.75"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19"/>
      <c r="AG468" s="101"/>
      <c r="AH468" s="101"/>
      <c r="AI468" s="101"/>
      <c r="AJ468" s="101"/>
      <c r="AK468" s="101"/>
    </row>
    <row r="469" spans="3:37" ht="15.75"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19"/>
      <c r="AG469" s="101"/>
      <c r="AH469" s="101"/>
      <c r="AI469" s="101"/>
      <c r="AJ469" s="101"/>
      <c r="AK469" s="101"/>
    </row>
    <row r="470" spans="3:37" ht="15.75"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19"/>
      <c r="AG470" s="101"/>
      <c r="AH470" s="101"/>
      <c r="AI470" s="101"/>
      <c r="AJ470" s="101"/>
      <c r="AK470" s="101"/>
    </row>
    <row r="471" spans="3:37" ht="15.75"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19"/>
      <c r="AG471" s="101"/>
      <c r="AH471" s="101"/>
      <c r="AI471" s="101"/>
      <c r="AJ471" s="101"/>
      <c r="AK471" s="101"/>
    </row>
    <row r="472" spans="3:37" ht="15.75"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19"/>
      <c r="AG472" s="101"/>
      <c r="AH472" s="101"/>
      <c r="AI472" s="101"/>
      <c r="AJ472" s="101"/>
      <c r="AK472" s="101"/>
    </row>
    <row r="473" spans="3:37" ht="15.75"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19"/>
      <c r="AG473" s="101"/>
      <c r="AH473" s="101"/>
      <c r="AI473" s="101"/>
      <c r="AJ473" s="101"/>
      <c r="AK473" s="101"/>
    </row>
    <row r="474" spans="3:37" ht="15.75"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19"/>
      <c r="AG474" s="101"/>
      <c r="AH474" s="101"/>
      <c r="AI474" s="101"/>
      <c r="AJ474" s="101"/>
      <c r="AK474" s="101"/>
    </row>
    <row r="475" spans="3:37" ht="15.75"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19"/>
      <c r="AG475" s="101"/>
      <c r="AH475" s="101"/>
      <c r="AI475" s="101"/>
      <c r="AJ475" s="101"/>
      <c r="AK475" s="101"/>
    </row>
    <row r="476" spans="3:37" ht="15.75"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19"/>
      <c r="AG476" s="101"/>
      <c r="AH476" s="101"/>
      <c r="AI476" s="101"/>
      <c r="AJ476" s="101"/>
      <c r="AK476" s="101"/>
    </row>
    <row r="477" spans="3:37" ht="15.75"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19"/>
      <c r="AG477" s="101"/>
      <c r="AH477" s="101"/>
      <c r="AI477" s="101"/>
      <c r="AJ477" s="101"/>
      <c r="AK477" s="101"/>
    </row>
    <row r="478" spans="3:37" ht="15.75"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19"/>
      <c r="AG478" s="101"/>
      <c r="AH478" s="101"/>
      <c r="AI478" s="101"/>
      <c r="AJ478" s="101"/>
      <c r="AK478" s="101"/>
    </row>
    <row r="479" spans="3:37" ht="15.75"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19"/>
      <c r="AG479" s="101"/>
      <c r="AH479" s="101"/>
      <c r="AI479" s="101"/>
      <c r="AJ479" s="101"/>
      <c r="AK479" s="101"/>
    </row>
    <row r="480" spans="3:37" ht="15.75"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19"/>
      <c r="AG480" s="101"/>
      <c r="AH480" s="101"/>
      <c r="AI480" s="101"/>
      <c r="AJ480" s="101"/>
      <c r="AK480" s="101"/>
    </row>
    <row r="481" spans="3:37" ht="15.75"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19"/>
      <c r="AG481" s="101"/>
      <c r="AH481" s="101"/>
      <c r="AI481" s="101"/>
      <c r="AJ481" s="101"/>
      <c r="AK481" s="101"/>
    </row>
    <row r="482" spans="3:37" ht="15.75"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19"/>
      <c r="AG482" s="101"/>
      <c r="AH482" s="101"/>
      <c r="AI482" s="101"/>
      <c r="AJ482" s="101"/>
      <c r="AK482" s="101"/>
    </row>
    <row r="483" spans="3:37" ht="15.75"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  <c r="AF483" s="119"/>
      <c r="AG483" s="101"/>
      <c r="AH483" s="101"/>
      <c r="AI483" s="101"/>
      <c r="AJ483" s="101"/>
      <c r="AK483" s="101"/>
    </row>
    <row r="484" spans="3:37" ht="15.75"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19"/>
      <c r="AG484" s="101"/>
      <c r="AH484" s="101"/>
      <c r="AI484" s="101"/>
      <c r="AJ484" s="101"/>
      <c r="AK484" s="101"/>
    </row>
    <row r="485" spans="3:37" ht="15.75"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19"/>
      <c r="AG485" s="101"/>
      <c r="AH485" s="101"/>
      <c r="AI485" s="101"/>
      <c r="AJ485" s="101"/>
      <c r="AK485" s="101"/>
    </row>
    <row r="486" spans="3:37" ht="15.75"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19"/>
      <c r="AG486" s="101"/>
      <c r="AH486" s="101"/>
      <c r="AI486" s="101"/>
      <c r="AJ486" s="101"/>
      <c r="AK486" s="101"/>
    </row>
    <row r="487" spans="3:37" ht="15.75"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19"/>
      <c r="AG487" s="101"/>
      <c r="AH487" s="101"/>
      <c r="AI487" s="101"/>
      <c r="AJ487" s="101"/>
      <c r="AK487" s="101"/>
    </row>
    <row r="488" spans="3:37" ht="15.75"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19"/>
      <c r="AG488" s="101"/>
      <c r="AH488" s="101"/>
      <c r="AI488" s="101"/>
      <c r="AJ488" s="101"/>
      <c r="AK488" s="101"/>
    </row>
    <row r="489" spans="3:37" ht="15.75"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19"/>
      <c r="AG489" s="101"/>
      <c r="AH489" s="101"/>
      <c r="AI489" s="101"/>
      <c r="AJ489" s="101"/>
      <c r="AK489" s="101"/>
    </row>
    <row r="490" spans="3:37" ht="15.75"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19"/>
      <c r="AG490" s="101"/>
      <c r="AH490" s="101"/>
      <c r="AI490" s="101"/>
      <c r="AJ490" s="101"/>
      <c r="AK490" s="101"/>
    </row>
    <row r="491" spans="3:37" ht="15.75"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19"/>
      <c r="AG491" s="101"/>
      <c r="AH491" s="101"/>
      <c r="AI491" s="101"/>
      <c r="AJ491" s="101"/>
      <c r="AK491" s="101"/>
    </row>
    <row r="492" spans="3:37" ht="15.75"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19"/>
      <c r="AG492" s="101"/>
      <c r="AH492" s="101"/>
      <c r="AI492" s="101"/>
      <c r="AJ492" s="101"/>
      <c r="AK492" s="101"/>
    </row>
    <row r="493" spans="3:37" ht="15.75"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19"/>
      <c r="AG493" s="101"/>
      <c r="AH493" s="101"/>
      <c r="AI493" s="101"/>
      <c r="AJ493" s="101"/>
      <c r="AK493" s="101"/>
    </row>
    <row r="494" spans="3:37" ht="15.75"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19"/>
      <c r="AG494" s="101"/>
      <c r="AH494" s="101"/>
      <c r="AI494" s="101"/>
      <c r="AJ494" s="101"/>
      <c r="AK494" s="101"/>
    </row>
    <row r="495" spans="3:37" ht="15.75"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19"/>
      <c r="AG495" s="101"/>
      <c r="AH495" s="101"/>
      <c r="AI495" s="101"/>
      <c r="AJ495" s="101"/>
      <c r="AK495" s="101"/>
    </row>
    <row r="496" spans="3:37" ht="15.75"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19"/>
      <c r="AG496" s="101"/>
      <c r="AH496" s="101"/>
      <c r="AI496" s="101"/>
      <c r="AJ496" s="101"/>
      <c r="AK496" s="101"/>
    </row>
    <row r="497" spans="3:37" ht="15.75"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  <c r="AE497" s="101"/>
      <c r="AF497" s="119"/>
      <c r="AG497" s="101"/>
      <c r="AH497" s="101"/>
      <c r="AI497" s="101"/>
      <c r="AJ497" s="101"/>
      <c r="AK497" s="101"/>
    </row>
    <row r="498" spans="3:37" ht="15.75"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19"/>
      <c r="AG498" s="101"/>
      <c r="AH498" s="101"/>
      <c r="AI498" s="101"/>
      <c r="AJ498" s="101"/>
      <c r="AK498" s="101"/>
    </row>
    <row r="499" spans="3:37" ht="15.75"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  <c r="AE499" s="101"/>
      <c r="AF499" s="119"/>
      <c r="AG499" s="101"/>
      <c r="AH499" s="101"/>
      <c r="AI499" s="101"/>
      <c r="AJ499" s="101"/>
      <c r="AK499" s="101"/>
    </row>
    <row r="500" spans="3:37" ht="15.75"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  <c r="AF500" s="119"/>
      <c r="AG500" s="101"/>
      <c r="AH500" s="101"/>
      <c r="AI500" s="101"/>
      <c r="AJ500" s="101"/>
      <c r="AK500" s="101"/>
    </row>
    <row r="501" spans="3:37" ht="15.75"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19"/>
      <c r="AG501" s="101"/>
      <c r="AH501" s="101"/>
      <c r="AI501" s="101"/>
      <c r="AJ501" s="101"/>
      <c r="AK501" s="101"/>
    </row>
    <row r="502" spans="3:37" ht="15.75"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19"/>
      <c r="AG502" s="101"/>
      <c r="AH502" s="101"/>
      <c r="AI502" s="101"/>
      <c r="AJ502" s="101"/>
      <c r="AK502" s="101"/>
    </row>
    <row r="503" spans="3:37" ht="15.75"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  <c r="AF503" s="119"/>
      <c r="AG503" s="101"/>
      <c r="AH503" s="101"/>
      <c r="AI503" s="101"/>
      <c r="AJ503" s="101"/>
      <c r="AK503" s="101"/>
    </row>
    <row r="504" spans="3:37" ht="15.75"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19"/>
      <c r="AG504" s="101"/>
      <c r="AH504" s="101"/>
      <c r="AI504" s="101"/>
      <c r="AJ504" s="101"/>
      <c r="AK504" s="101"/>
    </row>
    <row r="505" spans="3:37" ht="15.75"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19"/>
      <c r="AG505" s="101"/>
      <c r="AH505" s="101"/>
      <c r="AI505" s="101"/>
      <c r="AJ505" s="101"/>
      <c r="AK505" s="101"/>
    </row>
    <row r="506" spans="3:37" ht="15.75"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19"/>
      <c r="AG506" s="101"/>
      <c r="AH506" s="101"/>
      <c r="AI506" s="101"/>
      <c r="AJ506" s="101"/>
      <c r="AK506" s="101"/>
    </row>
    <row r="507" spans="3:37" ht="15.75"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19"/>
      <c r="AG507" s="101"/>
      <c r="AH507" s="101"/>
      <c r="AI507" s="101"/>
      <c r="AJ507" s="101"/>
      <c r="AK507" s="101"/>
    </row>
    <row r="508" spans="3:37" ht="15.75"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19"/>
      <c r="AG508" s="101"/>
      <c r="AH508" s="101"/>
      <c r="AI508" s="101"/>
      <c r="AJ508" s="101"/>
      <c r="AK508" s="101"/>
    </row>
    <row r="509" spans="3:37" ht="15.75"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19"/>
      <c r="AG509" s="101"/>
      <c r="AH509" s="101"/>
      <c r="AI509" s="101"/>
      <c r="AJ509" s="101"/>
      <c r="AK509" s="101"/>
    </row>
    <row r="510" spans="3:37" ht="15.75"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19"/>
      <c r="AG510" s="101"/>
      <c r="AH510" s="101"/>
      <c r="AI510" s="101"/>
      <c r="AJ510" s="101"/>
      <c r="AK510" s="101"/>
    </row>
    <row r="511" spans="3:37" ht="15.75"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19"/>
      <c r="AG511" s="101"/>
      <c r="AH511" s="101"/>
      <c r="AI511" s="101"/>
      <c r="AJ511" s="101"/>
      <c r="AK511" s="101"/>
    </row>
    <row r="512" spans="3:37" ht="15.75"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19"/>
      <c r="AG512" s="101"/>
      <c r="AH512" s="101"/>
      <c r="AI512" s="101"/>
      <c r="AJ512" s="101"/>
      <c r="AK512" s="101"/>
    </row>
    <row r="513" spans="3:37" ht="15.75"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19"/>
      <c r="AG513" s="101"/>
      <c r="AH513" s="101"/>
      <c r="AI513" s="101"/>
      <c r="AJ513" s="101"/>
      <c r="AK513" s="101"/>
    </row>
    <row r="514" spans="3:37" ht="15.75"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19"/>
      <c r="AG514" s="101"/>
      <c r="AH514" s="101"/>
      <c r="AI514" s="101"/>
      <c r="AJ514" s="101"/>
      <c r="AK514" s="101"/>
    </row>
    <row r="515" spans="3:37" ht="15.75"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19"/>
      <c r="AG515" s="101"/>
      <c r="AH515" s="101"/>
      <c r="AI515" s="101"/>
      <c r="AJ515" s="101"/>
      <c r="AK515" s="101"/>
    </row>
    <row r="516" spans="3:37" ht="15.75"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19"/>
      <c r="AG516" s="101"/>
      <c r="AH516" s="101"/>
      <c r="AI516" s="101"/>
      <c r="AJ516" s="101"/>
      <c r="AK516" s="101"/>
    </row>
    <row r="517" spans="3:37" ht="15.75"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19"/>
      <c r="AG517" s="101"/>
      <c r="AH517" s="101"/>
      <c r="AI517" s="101"/>
      <c r="AJ517" s="101"/>
      <c r="AK517" s="101"/>
    </row>
    <row r="518" spans="3:37" ht="15.75"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19"/>
      <c r="AG518" s="101"/>
      <c r="AH518" s="101"/>
      <c r="AI518" s="101"/>
      <c r="AJ518" s="101"/>
      <c r="AK518" s="101"/>
    </row>
    <row r="519" spans="3:37" ht="15.75"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  <c r="AE519" s="101"/>
      <c r="AF519" s="119"/>
      <c r="AG519" s="101"/>
      <c r="AH519" s="101"/>
      <c r="AI519" s="101"/>
      <c r="AJ519" s="101"/>
      <c r="AK519" s="101"/>
    </row>
    <row r="520" spans="3:37" ht="15.75"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19"/>
      <c r="AG520" s="101"/>
      <c r="AH520" s="101"/>
      <c r="AI520" s="101"/>
      <c r="AJ520" s="101"/>
      <c r="AK520" s="101"/>
    </row>
    <row r="521" spans="3:37" ht="15.75"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19"/>
      <c r="AG521" s="101"/>
      <c r="AH521" s="101"/>
      <c r="AI521" s="101"/>
      <c r="AJ521" s="101"/>
      <c r="AK521" s="101"/>
    </row>
    <row r="522" spans="3:37" ht="15.75"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19"/>
      <c r="AG522" s="101"/>
      <c r="AH522" s="101"/>
      <c r="AI522" s="101"/>
      <c r="AJ522" s="101"/>
      <c r="AK522" s="101"/>
    </row>
    <row r="523" spans="3:37" ht="15.75"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19"/>
      <c r="AG523" s="101"/>
      <c r="AH523" s="101"/>
      <c r="AI523" s="101"/>
      <c r="AJ523" s="101"/>
      <c r="AK523" s="101"/>
    </row>
    <row r="524" spans="3:37" ht="15.75"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  <c r="AE524" s="101"/>
      <c r="AF524" s="119"/>
      <c r="AG524" s="101"/>
      <c r="AH524" s="101"/>
      <c r="AI524" s="101"/>
      <c r="AJ524" s="101"/>
      <c r="AK524" s="101"/>
    </row>
    <row r="525" spans="3:37" ht="15.75"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  <c r="AE525" s="101"/>
      <c r="AF525" s="119"/>
      <c r="AG525" s="101"/>
      <c r="AH525" s="101"/>
      <c r="AI525" s="101"/>
      <c r="AJ525" s="101"/>
      <c r="AK525" s="101"/>
    </row>
    <row r="526" spans="3:37" ht="15.75"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  <c r="AF526" s="119"/>
      <c r="AG526" s="101"/>
      <c r="AH526" s="101"/>
      <c r="AI526" s="101"/>
      <c r="AJ526" s="101"/>
      <c r="AK526" s="101"/>
    </row>
    <row r="527" spans="3:37" ht="15.75"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19"/>
      <c r="AG527" s="101"/>
      <c r="AH527" s="101"/>
      <c r="AI527" s="101"/>
      <c r="AJ527" s="101"/>
      <c r="AK527" s="101"/>
    </row>
    <row r="528" spans="3:37" ht="15.75"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  <c r="AF528" s="119"/>
      <c r="AG528" s="101"/>
      <c r="AH528" s="101"/>
      <c r="AI528" s="101"/>
      <c r="AJ528" s="101"/>
      <c r="AK528" s="101"/>
    </row>
    <row r="529" spans="3:37" ht="15.75"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  <c r="AE529" s="101"/>
      <c r="AF529" s="119"/>
      <c r="AG529" s="101"/>
      <c r="AH529" s="101"/>
      <c r="AI529" s="101"/>
      <c r="AJ529" s="101"/>
      <c r="AK529" s="101"/>
    </row>
    <row r="530" spans="3:37" ht="15.75"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  <c r="AF530" s="119"/>
      <c r="AG530" s="101"/>
      <c r="AH530" s="101"/>
      <c r="AI530" s="101"/>
      <c r="AJ530" s="101"/>
      <c r="AK530" s="101"/>
    </row>
    <row r="531" spans="3:37" ht="15.75"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19"/>
      <c r="AG531" s="101"/>
      <c r="AH531" s="101"/>
      <c r="AI531" s="101"/>
      <c r="AJ531" s="101"/>
      <c r="AK531" s="101"/>
    </row>
    <row r="532" spans="3:37" ht="15.75"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19"/>
      <c r="AG532" s="101"/>
      <c r="AH532" s="101"/>
      <c r="AI532" s="101"/>
      <c r="AJ532" s="101"/>
      <c r="AK532" s="101"/>
    </row>
    <row r="533" spans="3:37" ht="15.75"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19"/>
      <c r="AG533" s="101"/>
      <c r="AH533" s="101"/>
      <c r="AI533" s="101"/>
      <c r="AJ533" s="101"/>
      <c r="AK533" s="101"/>
    </row>
    <row r="534" spans="3:37" ht="15.75"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  <c r="AF534" s="119"/>
      <c r="AG534" s="101"/>
      <c r="AH534" s="101"/>
      <c r="AI534" s="101"/>
      <c r="AJ534" s="101"/>
      <c r="AK534" s="101"/>
    </row>
    <row r="535" spans="3:37" ht="15.75"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19"/>
      <c r="AG535" s="101"/>
      <c r="AH535" s="101"/>
      <c r="AI535" s="101"/>
      <c r="AJ535" s="101"/>
      <c r="AK535" s="101"/>
    </row>
    <row r="536" spans="3:37" ht="15.75"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  <c r="AF536" s="119"/>
      <c r="AG536" s="101"/>
      <c r="AH536" s="101"/>
      <c r="AI536" s="101"/>
      <c r="AJ536" s="101"/>
      <c r="AK536" s="101"/>
    </row>
    <row r="537" spans="3:37" ht="15.75"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101"/>
      <c r="AF537" s="119"/>
      <c r="AG537" s="101"/>
      <c r="AH537" s="101"/>
      <c r="AI537" s="101"/>
      <c r="AJ537" s="101"/>
      <c r="AK537" s="101"/>
    </row>
    <row r="538" spans="3:37" ht="15.75"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101"/>
      <c r="AF538" s="119"/>
      <c r="AG538" s="101"/>
      <c r="AH538" s="101"/>
      <c r="AI538" s="101"/>
      <c r="AJ538" s="101"/>
      <c r="AK538" s="101"/>
    </row>
    <row r="539" spans="3:37" ht="15.75"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19"/>
      <c r="AG539" s="101"/>
      <c r="AH539" s="101"/>
      <c r="AI539" s="101"/>
      <c r="AJ539" s="101"/>
      <c r="AK539" s="101"/>
    </row>
    <row r="540" spans="3:37" ht="15.75"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19"/>
      <c r="AG540" s="101"/>
      <c r="AH540" s="101"/>
      <c r="AI540" s="101"/>
      <c r="AJ540" s="101"/>
      <c r="AK540" s="101"/>
    </row>
    <row r="541" spans="3:37" ht="15.75"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19"/>
      <c r="AG541" s="101"/>
      <c r="AH541" s="101"/>
      <c r="AI541" s="101"/>
      <c r="AJ541" s="101"/>
      <c r="AK541" s="101"/>
    </row>
    <row r="542" spans="3:37" ht="15.75"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19"/>
      <c r="AG542" s="101"/>
      <c r="AH542" s="101"/>
      <c r="AI542" s="101"/>
      <c r="AJ542" s="101"/>
      <c r="AK542" s="101"/>
    </row>
    <row r="543" spans="3:37" ht="15.75"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19"/>
      <c r="AG543" s="101"/>
      <c r="AH543" s="101"/>
      <c r="AI543" s="101"/>
      <c r="AJ543" s="101"/>
      <c r="AK543" s="101"/>
    </row>
    <row r="544" spans="3:37" ht="15.75"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  <c r="AF544" s="119"/>
      <c r="AG544" s="101"/>
      <c r="AH544" s="101"/>
      <c r="AI544" s="101"/>
      <c r="AJ544" s="101"/>
      <c r="AK544" s="101"/>
    </row>
    <row r="545" spans="3:37" ht="15.75"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19"/>
      <c r="AG545" s="101"/>
      <c r="AH545" s="101"/>
      <c r="AI545" s="101"/>
      <c r="AJ545" s="101"/>
      <c r="AK545" s="101"/>
    </row>
    <row r="546" spans="3:37" ht="15.75"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19"/>
      <c r="AG546" s="101"/>
      <c r="AH546" s="101"/>
      <c r="AI546" s="101"/>
      <c r="AJ546" s="101"/>
      <c r="AK546" s="101"/>
    </row>
    <row r="547" spans="3:37" ht="15.75"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19"/>
      <c r="AG547" s="101"/>
      <c r="AH547" s="101"/>
      <c r="AI547" s="101"/>
      <c r="AJ547" s="101"/>
      <c r="AK547" s="101"/>
    </row>
    <row r="548" spans="3:37" ht="15.75"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  <c r="AF548" s="119"/>
      <c r="AG548" s="101"/>
      <c r="AH548" s="101"/>
      <c r="AI548" s="101"/>
      <c r="AJ548" s="101"/>
      <c r="AK548" s="101"/>
    </row>
    <row r="549" spans="3:37" ht="15.75"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  <c r="AE549" s="101"/>
      <c r="AF549" s="119"/>
      <c r="AG549" s="101"/>
      <c r="AH549" s="101"/>
      <c r="AI549" s="101"/>
      <c r="AJ549" s="101"/>
      <c r="AK549" s="101"/>
    </row>
    <row r="550" spans="3:37" ht="15.75"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  <c r="AE550" s="101"/>
      <c r="AF550" s="119"/>
      <c r="AG550" s="101"/>
      <c r="AH550" s="101"/>
      <c r="AI550" s="101"/>
      <c r="AJ550" s="101"/>
      <c r="AK550" s="101"/>
    </row>
    <row r="551" spans="3:37" ht="15.75"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  <c r="AE551" s="101"/>
      <c r="AF551" s="119"/>
      <c r="AG551" s="101"/>
      <c r="AH551" s="101"/>
      <c r="AI551" s="101"/>
      <c r="AJ551" s="101"/>
      <c r="AK551" s="101"/>
    </row>
    <row r="552" spans="3:37" ht="15.75"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01"/>
      <c r="AF552" s="119"/>
      <c r="AG552" s="101"/>
      <c r="AH552" s="101"/>
      <c r="AI552" s="101"/>
      <c r="AJ552" s="101"/>
      <c r="AK552" s="101"/>
    </row>
    <row r="553" spans="3:37" ht="15.75"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19"/>
      <c r="AG553" s="101"/>
      <c r="AH553" s="101"/>
      <c r="AI553" s="101"/>
      <c r="AJ553" s="101"/>
      <c r="AK553" s="101"/>
    </row>
    <row r="554" spans="3:37" ht="15.75"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  <c r="AE554" s="101"/>
      <c r="AF554" s="119"/>
      <c r="AG554" s="101"/>
      <c r="AH554" s="101"/>
      <c r="AI554" s="101"/>
      <c r="AJ554" s="101"/>
      <c r="AK554" s="101"/>
    </row>
    <row r="555" spans="3:37" ht="15.75"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  <c r="AE555" s="101"/>
      <c r="AF555" s="119"/>
      <c r="AG555" s="101"/>
      <c r="AH555" s="101"/>
      <c r="AI555" s="101"/>
      <c r="AJ555" s="101"/>
      <c r="AK555" s="101"/>
    </row>
    <row r="556" spans="3:37" ht="15.75"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  <c r="AE556" s="101"/>
      <c r="AF556" s="119"/>
      <c r="AG556" s="101"/>
      <c r="AH556" s="101"/>
      <c r="AI556" s="101"/>
      <c r="AJ556" s="101"/>
      <c r="AK556" s="101"/>
    </row>
    <row r="557" spans="3:37" ht="15.75"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  <c r="AF557" s="119"/>
      <c r="AG557" s="101"/>
      <c r="AH557" s="101"/>
      <c r="AI557" s="101"/>
      <c r="AJ557" s="101"/>
      <c r="AK557" s="101"/>
    </row>
    <row r="558" spans="3:37" ht="15.75"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  <c r="AF558" s="119"/>
      <c r="AG558" s="101"/>
      <c r="AH558" s="101"/>
      <c r="AI558" s="101"/>
      <c r="AJ558" s="101"/>
      <c r="AK558" s="101"/>
    </row>
    <row r="559" spans="3:37" ht="15.75"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  <c r="AF559" s="119"/>
      <c r="AG559" s="101"/>
      <c r="AH559" s="101"/>
      <c r="AI559" s="101"/>
      <c r="AJ559" s="101"/>
      <c r="AK559" s="101"/>
    </row>
    <row r="560" spans="3:37" ht="15.75"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  <c r="AF560" s="119"/>
      <c r="AG560" s="101"/>
      <c r="AH560" s="101"/>
      <c r="AI560" s="101"/>
      <c r="AJ560" s="101"/>
      <c r="AK560" s="101"/>
    </row>
    <row r="561" spans="3:37" ht="15.75"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19"/>
      <c r="AG561" s="101"/>
      <c r="AH561" s="101"/>
      <c r="AI561" s="101"/>
      <c r="AJ561" s="101"/>
      <c r="AK561" s="101"/>
    </row>
    <row r="562" spans="3:37" ht="15.75"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19"/>
      <c r="AG562" s="101"/>
      <c r="AH562" s="101"/>
      <c r="AI562" s="101"/>
      <c r="AJ562" s="101"/>
      <c r="AK562" s="101"/>
    </row>
    <row r="563" spans="3:37" ht="15.75"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19"/>
      <c r="AG563" s="101"/>
      <c r="AH563" s="101"/>
      <c r="AI563" s="101"/>
      <c r="AJ563" s="101"/>
      <c r="AK563" s="101"/>
    </row>
    <row r="564" spans="3:37" ht="15.75"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19"/>
      <c r="AG564" s="101"/>
      <c r="AH564" s="101"/>
      <c r="AI564" s="101"/>
      <c r="AJ564" s="101"/>
      <c r="AK564" s="101"/>
    </row>
    <row r="565" spans="3:37" ht="15.75"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19"/>
      <c r="AG565" s="101"/>
      <c r="AH565" s="101"/>
      <c r="AI565" s="101"/>
      <c r="AJ565" s="101"/>
      <c r="AK565" s="101"/>
    </row>
    <row r="566" spans="3:37" ht="15.75"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19"/>
      <c r="AG566" s="101"/>
      <c r="AH566" s="101"/>
      <c r="AI566" s="101"/>
      <c r="AJ566" s="101"/>
      <c r="AK566" s="101"/>
    </row>
    <row r="567" spans="3:37" ht="15.75"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19"/>
      <c r="AG567" s="101"/>
      <c r="AH567" s="101"/>
      <c r="AI567" s="101"/>
      <c r="AJ567" s="101"/>
      <c r="AK567" s="101"/>
    </row>
    <row r="568" spans="3:37" ht="15.75"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19"/>
      <c r="AG568" s="101"/>
      <c r="AH568" s="101"/>
      <c r="AI568" s="101"/>
      <c r="AJ568" s="101"/>
      <c r="AK568" s="101"/>
    </row>
    <row r="569" spans="3:37" ht="15.75"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19"/>
      <c r="AG569" s="101"/>
      <c r="AH569" s="101"/>
      <c r="AI569" s="101"/>
      <c r="AJ569" s="101"/>
      <c r="AK569" s="101"/>
    </row>
    <row r="570" spans="3:37" ht="15.75"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19"/>
      <c r="AG570" s="101"/>
      <c r="AH570" s="101"/>
      <c r="AI570" s="101"/>
      <c r="AJ570" s="101"/>
      <c r="AK570" s="101"/>
    </row>
    <row r="571" spans="3:37" ht="15.75"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19"/>
      <c r="AG571" s="101"/>
      <c r="AH571" s="101"/>
      <c r="AI571" s="101"/>
      <c r="AJ571" s="101"/>
      <c r="AK571" s="101"/>
    </row>
    <row r="572" spans="3:37" ht="15.75"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19"/>
      <c r="AG572" s="101"/>
      <c r="AH572" s="101"/>
      <c r="AI572" s="101"/>
      <c r="AJ572" s="101"/>
      <c r="AK572" s="101"/>
    </row>
    <row r="573" spans="3:37" ht="15.75"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19"/>
      <c r="AG573" s="101"/>
      <c r="AH573" s="101"/>
      <c r="AI573" s="101"/>
      <c r="AJ573" s="101"/>
      <c r="AK573" s="101"/>
    </row>
    <row r="574" spans="3:37" ht="15.75"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19"/>
      <c r="AG574" s="101"/>
      <c r="AH574" s="101"/>
      <c r="AI574" s="101"/>
      <c r="AJ574" s="101"/>
      <c r="AK574" s="101"/>
    </row>
    <row r="575" spans="3:37" ht="15.75"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19"/>
      <c r="AG575" s="101"/>
      <c r="AH575" s="101"/>
      <c r="AI575" s="101"/>
      <c r="AJ575" s="101"/>
      <c r="AK575" s="101"/>
    </row>
    <row r="576" spans="3:37" ht="15.75"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19"/>
      <c r="AG576" s="101"/>
      <c r="AH576" s="101"/>
      <c r="AI576" s="101"/>
      <c r="AJ576" s="101"/>
      <c r="AK576" s="101"/>
    </row>
    <row r="577" spans="3:37" ht="15.75"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  <c r="AF577" s="119"/>
      <c r="AG577" s="101"/>
      <c r="AH577" s="101"/>
      <c r="AI577" s="101"/>
      <c r="AJ577" s="101"/>
      <c r="AK577" s="101"/>
    </row>
    <row r="578" spans="3:37" ht="15.75"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  <c r="AF578" s="119"/>
      <c r="AG578" s="101"/>
      <c r="AH578" s="101"/>
      <c r="AI578" s="101"/>
      <c r="AJ578" s="101"/>
      <c r="AK578" s="101"/>
    </row>
    <row r="579" spans="3:37" ht="15.75"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19"/>
      <c r="AG579" s="101"/>
      <c r="AH579" s="101"/>
      <c r="AI579" s="101"/>
      <c r="AJ579" s="101"/>
      <c r="AK579" s="101"/>
    </row>
    <row r="580" spans="3:37" ht="15.75"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  <c r="AF580" s="119"/>
      <c r="AG580" s="101"/>
      <c r="AH580" s="101"/>
      <c r="AI580" s="101"/>
      <c r="AJ580" s="101"/>
      <c r="AK580" s="101"/>
    </row>
    <row r="581" spans="3:37" ht="15.75"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F581" s="119"/>
      <c r="AG581" s="101"/>
      <c r="AH581" s="101"/>
      <c r="AI581" s="101"/>
      <c r="AJ581" s="101"/>
      <c r="AK581" s="101"/>
    </row>
    <row r="582" spans="3:37" ht="15.75"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19"/>
      <c r="AG582" s="101"/>
      <c r="AH582" s="101"/>
      <c r="AI582" s="101"/>
      <c r="AJ582" s="101"/>
      <c r="AK582" s="101"/>
    </row>
    <row r="583" spans="3:37" ht="15.75"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19"/>
      <c r="AG583" s="101"/>
      <c r="AH583" s="101"/>
      <c r="AI583" s="101"/>
      <c r="AJ583" s="101"/>
      <c r="AK583" s="101"/>
    </row>
    <row r="584" spans="3:37" ht="15.75"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  <c r="AF584" s="119"/>
      <c r="AG584" s="101"/>
      <c r="AH584" s="101"/>
      <c r="AI584" s="101"/>
      <c r="AJ584" s="101"/>
      <c r="AK584" s="101"/>
    </row>
    <row r="585" spans="3:37" ht="15.75"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  <c r="AE585" s="101"/>
      <c r="AF585" s="119"/>
      <c r="AG585" s="101"/>
      <c r="AH585" s="101"/>
      <c r="AI585" s="101"/>
      <c r="AJ585" s="101"/>
      <c r="AK585" s="101"/>
    </row>
    <row r="586" spans="3:37" ht="15.75"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  <c r="AE586" s="101"/>
      <c r="AF586" s="119"/>
      <c r="AG586" s="101"/>
      <c r="AH586" s="101"/>
      <c r="AI586" s="101"/>
      <c r="AJ586" s="101"/>
      <c r="AK586" s="101"/>
    </row>
    <row r="587" spans="3:37" ht="15.75"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19"/>
      <c r="AG587" s="101"/>
      <c r="AH587" s="101"/>
      <c r="AI587" s="101"/>
      <c r="AJ587" s="101"/>
      <c r="AK587" s="101"/>
    </row>
    <row r="588" spans="3:37" ht="15.75"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  <c r="AF588" s="119"/>
      <c r="AG588" s="101"/>
      <c r="AH588" s="101"/>
      <c r="AI588" s="101"/>
      <c r="AJ588" s="101"/>
      <c r="AK588" s="101"/>
    </row>
    <row r="589" spans="3:37" ht="15.75"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  <c r="AF589" s="119"/>
      <c r="AG589" s="101"/>
      <c r="AH589" s="101"/>
      <c r="AI589" s="101"/>
      <c r="AJ589" s="101"/>
      <c r="AK589" s="101"/>
    </row>
    <row r="590" spans="3:37" ht="15.75"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  <c r="AE590" s="101"/>
      <c r="AF590" s="119"/>
      <c r="AG590" s="101"/>
      <c r="AH590" s="101"/>
      <c r="AI590" s="101"/>
      <c r="AJ590" s="101"/>
      <c r="AK590" s="101"/>
    </row>
    <row r="591" spans="3:37" ht="15.75"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  <c r="AF591" s="119"/>
      <c r="AG591" s="101"/>
      <c r="AH591" s="101"/>
      <c r="AI591" s="101"/>
      <c r="AJ591" s="101"/>
      <c r="AK591" s="101"/>
    </row>
    <row r="592" spans="3:37" ht="15.75"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  <c r="AE592" s="101"/>
      <c r="AF592" s="119"/>
      <c r="AG592" s="101"/>
      <c r="AH592" s="101"/>
      <c r="AI592" s="101"/>
      <c r="AJ592" s="101"/>
      <c r="AK592" s="101"/>
    </row>
    <row r="593" spans="3:37" ht="15.75"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  <c r="AE593" s="101"/>
      <c r="AF593" s="119"/>
      <c r="AG593" s="101"/>
      <c r="AH593" s="101"/>
      <c r="AI593" s="101"/>
      <c r="AJ593" s="101"/>
      <c r="AK593" s="101"/>
    </row>
    <row r="594" spans="3:37" ht="15.75"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19"/>
      <c r="AG594" s="101"/>
      <c r="AH594" s="101"/>
      <c r="AI594" s="101"/>
      <c r="AJ594" s="101"/>
      <c r="AK594" s="101"/>
    </row>
    <row r="595" spans="3:37" ht="15.75"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19"/>
      <c r="AG595" s="101"/>
      <c r="AH595" s="101"/>
      <c r="AI595" s="101"/>
      <c r="AJ595" s="101"/>
      <c r="AK595" s="101"/>
    </row>
    <row r="596" spans="3:37" ht="15.75"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  <c r="AE596" s="101"/>
      <c r="AF596" s="119"/>
      <c r="AG596" s="101"/>
      <c r="AH596" s="101"/>
      <c r="AI596" s="101"/>
      <c r="AJ596" s="101"/>
      <c r="AK596" s="101"/>
    </row>
    <row r="597" spans="3:37" ht="15.75"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  <c r="AE597" s="101"/>
      <c r="AF597" s="119"/>
      <c r="AG597" s="101"/>
      <c r="AH597" s="101"/>
      <c r="AI597" s="101"/>
      <c r="AJ597" s="101"/>
      <c r="AK597" s="101"/>
    </row>
    <row r="598" spans="3:37" ht="15.75"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  <c r="AE598" s="101"/>
      <c r="AF598" s="119"/>
      <c r="AG598" s="101"/>
      <c r="AH598" s="101"/>
      <c r="AI598" s="101"/>
      <c r="AJ598" s="101"/>
      <c r="AK598" s="101"/>
    </row>
    <row r="599" spans="3:37" ht="15.75"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101"/>
      <c r="AF599" s="119"/>
      <c r="AG599" s="101"/>
      <c r="AH599" s="101"/>
      <c r="AI599" s="101"/>
      <c r="AJ599" s="101"/>
      <c r="AK599" s="101"/>
    </row>
    <row r="600" spans="3:37" ht="15.75"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  <c r="AE600" s="101"/>
      <c r="AF600" s="119"/>
      <c r="AG600" s="101"/>
      <c r="AH600" s="101"/>
      <c r="AI600" s="101"/>
      <c r="AJ600" s="101"/>
      <c r="AK600" s="101"/>
    </row>
    <row r="601" spans="3:37" ht="15.75"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  <c r="AE601" s="101"/>
      <c r="AF601" s="119"/>
      <c r="AG601" s="101"/>
      <c r="AH601" s="101"/>
      <c r="AI601" s="101"/>
      <c r="AJ601" s="101"/>
      <c r="AK601" s="101"/>
    </row>
    <row r="602" spans="3:37" ht="15.75"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1"/>
      <c r="AE602" s="101"/>
      <c r="AF602" s="119"/>
      <c r="AG602" s="101"/>
      <c r="AH602" s="101"/>
      <c r="AI602" s="101"/>
      <c r="AJ602" s="101"/>
      <c r="AK602" s="101"/>
    </row>
    <row r="603" spans="3:37" ht="15.75"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1"/>
      <c r="AE603" s="101"/>
      <c r="AF603" s="119"/>
      <c r="AG603" s="101"/>
      <c r="AH603" s="101"/>
      <c r="AI603" s="101"/>
      <c r="AJ603" s="101"/>
      <c r="AK603" s="101"/>
    </row>
    <row r="604" spans="3:37" ht="15.75"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  <c r="AE604" s="101"/>
      <c r="AF604" s="119"/>
      <c r="AG604" s="101"/>
      <c r="AH604" s="101"/>
      <c r="AI604" s="101"/>
      <c r="AJ604" s="101"/>
      <c r="AK604" s="101"/>
    </row>
    <row r="605" spans="3:37" ht="15.75"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1"/>
      <c r="AD605" s="101"/>
      <c r="AE605" s="101"/>
      <c r="AF605" s="119"/>
      <c r="AG605" s="101"/>
      <c r="AH605" s="101"/>
      <c r="AI605" s="101"/>
      <c r="AJ605" s="101"/>
      <c r="AK605" s="101"/>
    </row>
    <row r="606" spans="3:37" ht="15.75"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  <c r="AE606" s="101"/>
      <c r="AF606" s="119"/>
      <c r="AG606" s="101"/>
      <c r="AH606" s="101"/>
      <c r="AI606" s="101"/>
      <c r="AJ606" s="101"/>
      <c r="AK606" s="101"/>
    </row>
    <row r="607" spans="3:37" ht="15.75"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  <c r="AE607" s="101"/>
      <c r="AF607" s="119"/>
      <c r="AG607" s="101"/>
      <c r="AH607" s="101"/>
      <c r="AI607" s="101"/>
      <c r="AJ607" s="101"/>
      <c r="AK607" s="101"/>
    </row>
    <row r="608" spans="3:37" ht="15.75"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  <c r="AE608" s="101"/>
      <c r="AF608" s="119"/>
      <c r="AG608" s="101"/>
      <c r="AH608" s="101"/>
      <c r="AI608" s="101"/>
      <c r="AJ608" s="101"/>
      <c r="AK608" s="101"/>
    </row>
    <row r="609" spans="3:37" ht="15.75"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  <c r="AE609" s="101"/>
      <c r="AF609" s="119"/>
      <c r="AG609" s="101"/>
      <c r="AH609" s="101"/>
      <c r="AI609" s="101"/>
      <c r="AJ609" s="101"/>
      <c r="AK609" s="101"/>
    </row>
    <row r="610" spans="3:37" ht="15.75"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  <c r="AE610" s="101"/>
      <c r="AF610" s="119"/>
      <c r="AG610" s="101"/>
      <c r="AH610" s="101"/>
      <c r="AI610" s="101"/>
      <c r="AJ610" s="101"/>
      <c r="AK610" s="101"/>
    </row>
    <row r="611" spans="3:37" ht="15.75"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  <c r="AE611" s="101"/>
      <c r="AF611" s="119"/>
      <c r="AG611" s="101"/>
      <c r="AH611" s="101"/>
      <c r="AI611" s="101"/>
      <c r="AJ611" s="101"/>
      <c r="AK611" s="101"/>
    </row>
    <row r="612" spans="3:37" ht="15.75"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  <c r="AE612" s="101"/>
      <c r="AF612" s="119"/>
      <c r="AG612" s="101"/>
      <c r="AH612" s="101"/>
      <c r="AI612" s="101"/>
      <c r="AJ612" s="101"/>
      <c r="AK612" s="101"/>
    </row>
    <row r="613" spans="3:37" ht="15.75"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19"/>
      <c r="AG613" s="101"/>
      <c r="AH613" s="101"/>
      <c r="AI613" s="101"/>
      <c r="AJ613" s="101"/>
      <c r="AK613" s="101"/>
    </row>
    <row r="614" spans="3:37" ht="15.75"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  <c r="AF614" s="119"/>
      <c r="AG614" s="101"/>
      <c r="AH614" s="101"/>
      <c r="AI614" s="101"/>
      <c r="AJ614" s="101"/>
      <c r="AK614" s="101"/>
    </row>
    <row r="615" spans="3:37" ht="15.75"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  <c r="AF615" s="119"/>
      <c r="AG615" s="101"/>
      <c r="AH615" s="101"/>
      <c r="AI615" s="101"/>
      <c r="AJ615" s="101"/>
      <c r="AK615" s="101"/>
    </row>
    <row r="616" spans="3:37" ht="15.75"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  <c r="AE616" s="101"/>
      <c r="AF616" s="119"/>
      <c r="AG616" s="101"/>
      <c r="AH616" s="101"/>
      <c r="AI616" s="101"/>
      <c r="AJ616" s="101"/>
      <c r="AK616" s="101"/>
    </row>
    <row r="617" spans="3:37" ht="15.75"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19"/>
      <c r="AG617" s="101"/>
      <c r="AH617" s="101"/>
      <c r="AI617" s="101"/>
      <c r="AJ617" s="101"/>
      <c r="AK617" s="101"/>
    </row>
    <row r="618" spans="3:37" ht="15.75"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  <c r="AE618" s="101"/>
      <c r="AF618" s="119"/>
      <c r="AG618" s="101"/>
      <c r="AH618" s="101"/>
      <c r="AI618" s="101"/>
      <c r="AJ618" s="101"/>
      <c r="AK618" s="101"/>
    </row>
    <row r="619" spans="3:37" ht="15.75"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  <c r="AF619" s="119"/>
      <c r="AG619" s="101"/>
      <c r="AH619" s="101"/>
      <c r="AI619" s="101"/>
      <c r="AJ619" s="101"/>
      <c r="AK619" s="101"/>
    </row>
  </sheetData>
  <mergeCells count="3">
    <mergeCell ref="C4:K4"/>
    <mergeCell ref="M4:U4"/>
    <mergeCell ref="W4:AE4"/>
  </mergeCells>
  <printOptions/>
  <pageMargins left="0.41" right="0.58" top="0" bottom="0" header="0.36" footer="0.25"/>
  <pageSetup horizontalDpi="300" verticalDpi="300" orientation="landscape" paperSize="5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5"/>
  <sheetViews>
    <sheetView workbookViewId="0" topLeftCell="A33">
      <selection activeCell="A2" sqref="A2:G39"/>
    </sheetView>
  </sheetViews>
  <sheetFormatPr defaultColWidth="8.88671875" defaultRowHeight="15.75"/>
  <cols>
    <col min="1" max="1" width="3.3359375" style="14" customWidth="1"/>
    <col min="2" max="2" width="0.3359375" style="10" hidden="1" customWidth="1"/>
    <col min="3" max="3" width="42.77734375" style="10" customWidth="1"/>
    <col min="4" max="4" width="0.44140625" style="10" customWidth="1"/>
    <col min="5" max="5" width="10.21484375" style="10" customWidth="1"/>
    <col min="6" max="6" width="0.44140625" style="10" customWidth="1"/>
    <col min="7" max="7" width="10.3359375" style="10" customWidth="1"/>
    <col min="8" max="8" width="0.44140625" style="10" customWidth="1"/>
    <col min="9" max="9" width="10.3359375" style="10" customWidth="1"/>
    <col min="10" max="10" width="0.55078125" style="10" hidden="1" customWidth="1"/>
    <col min="11" max="11" width="6.21484375" style="10" customWidth="1"/>
    <col min="12" max="12" width="0.671875" style="10" customWidth="1"/>
    <col min="13" max="13" width="9.88671875" style="10" customWidth="1"/>
    <col min="14" max="14" width="0.78125" style="10" customWidth="1"/>
    <col min="15" max="15" width="9.6640625" style="10" bestFit="1" customWidth="1"/>
    <col min="16" max="16" width="0.78125" style="10" customWidth="1"/>
    <col min="17" max="17" width="8.77734375" style="10" customWidth="1"/>
    <col min="18" max="18" width="0.78125" style="10" customWidth="1"/>
    <col min="19" max="16384" width="8.77734375" style="10" customWidth="1"/>
  </cols>
  <sheetData>
    <row r="1" spans="1:11" ht="3.75" customHeight="1">
      <c r="A1" s="13"/>
      <c r="B1" s="4"/>
      <c r="C1" s="4"/>
      <c r="D1" s="4"/>
      <c r="F1" s="4"/>
      <c r="G1" s="4"/>
      <c r="H1" s="4"/>
      <c r="I1" s="4"/>
      <c r="J1" s="4"/>
      <c r="K1" s="4"/>
    </row>
    <row r="2" spans="1:12" ht="17.25" customHeight="1">
      <c r="A2" s="13" t="s">
        <v>152</v>
      </c>
      <c r="B2" s="4"/>
      <c r="C2" s="4"/>
      <c r="D2" s="4"/>
      <c r="E2" s="14"/>
      <c r="F2" s="13"/>
      <c r="G2" s="14"/>
      <c r="H2" s="14"/>
      <c r="I2" s="14"/>
      <c r="J2" s="14"/>
      <c r="K2" s="14"/>
      <c r="L2" s="14"/>
    </row>
    <row r="3" spans="1:14" ht="27.75" customHeight="1" thickBot="1">
      <c r="A3" s="13"/>
      <c r="B3" s="4"/>
      <c r="C3" s="4"/>
      <c r="G3" s="18" t="s">
        <v>139</v>
      </c>
      <c r="H3" s="12"/>
      <c r="I3" s="18" t="s">
        <v>139</v>
      </c>
      <c r="J3" s="12"/>
      <c r="K3" s="18"/>
      <c r="L3" s="4"/>
      <c r="N3" s="4"/>
    </row>
    <row r="4" spans="1:14" ht="15.75" customHeight="1">
      <c r="A4" s="40"/>
      <c r="B4" s="41"/>
      <c r="C4" s="41"/>
      <c r="D4" s="42"/>
      <c r="E4" s="83">
        <v>-3</v>
      </c>
      <c r="F4" s="74"/>
      <c r="G4" s="48">
        <v>-4</v>
      </c>
      <c r="H4" s="74"/>
      <c r="I4" s="48">
        <v>-5</v>
      </c>
      <c r="L4" s="36"/>
      <c r="N4" s="4"/>
    </row>
    <row r="5" spans="1:13" ht="17.25" customHeight="1">
      <c r="A5" s="43"/>
      <c r="B5" s="12"/>
      <c r="C5" s="44"/>
      <c r="D5" s="45"/>
      <c r="E5" s="86" t="s">
        <v>60</v>
      </c>
      <c r="F5" s="17"/>
      <c r="G5" s="50" t="s">
        <v>60</v>
      </c>
      <c r="H5" s="17"/>
      <c r="I5" s="50" t="s">
        <v>1</v>
      </c>
      <c r="M5" s="30"/>
    </row>
    <row r="6" spans="1:14" ht="17.25" customHeight="1">
      <c r="A6" s="43"/>
      <c r="B6" s="12"/>
      <c r="C6" s="12"/>
      <c r="D6" s="45"/>
      <c r="E6" s="86" t="s">
        <v>2</v>
      </c>
      <c r="F6" s="17"/>
      <c r="G6" s="50" t="s">
        <v>2</v>
      </c>
      <c r="H6" s="17"/>
      <c r="I6" s="50" t="s">
        <v>2</v>
      </c>
      <c r="M6" s="30"/>
      <c r="N6" s="6"/>
    </row>
    <row r="7" spans="1:14" ht="17.25" customHeight="1">
      <c r="A7" s="43"/>
      <c r="B7" s="12"/>
      <c r="C7" s="12"/>
      <c r="D7" s="45"/>
      <c r="E7" s="49" t="s">
        <v>137</v>
      </c>
      <c r="F7" s="17"/>
      <c r="G7" s="51" t="s">
        <v>57</v>
      </c>
      <c r="H7" s="17"/>
      <c r="I7" s="51" t="s">
        <v>138</v>
      </c>
      <c r="M7" s="51" t="s">
        <v>140</v>
      </c>
      <c r="N7" s="6"/>
    </row>
    <row r="8" spans="1:14" ht="17.25" customHeight="1" thickBot="1">
      <c r="A8" s="46"/>
      <c r="B8" s="47"/>
      <c r="C8" s="76" t="s">
        <v>42</v>
      </c>
      <c r="D8" s="60"/>
      <c r="E8" s="87"/>
      <c r="F8" s="47"/>
      <c r="G8" s="73"/>
      <c r="H8" s="12"/>
      <c r="I8" s="73" t="s">
        <v>3</v>
      </c>
      <c r="M8" s="31"/>
      <c r="N8" s="16"/>
    </row>
    <row r="9" spans="1:14" ht="15.75" customHeight="1">
      <c r="A9" s="40"/>
      <c r="B9" s="41"/>
      <c r="C9" s="77"/>
      <c r="D9" s="52"/>
      <c r="E9" s="70"/>
      <c r="F9" s="41"/>
      <c r="G9" s="70"/>
      <c r="H9" s="12"/>
      <c r="I9" s="70"/>
      <c r="M9" s="3"/>
      <c r="N9" s="16"/>
    </row>
    <row r="10" spans="1:14" ht="17.25" customHeight="1">
      <c r="A10" s="53">
        <v>1</v>
      </c>
      <c r="B10" s="12"/>
      <c r="C10" s="78" t="s">
        <v>9</v>
      </c>
      <c r="D10" s="140"/>
      <c r="E10" s="137">
        <v>79.51</v>
      </c>
      <c r="F10" s="141"/>
      <c r="G10" s="139">
        <v>24.12</v>
      </c>
      <c r="H10" s="140"/>
      <c r="I10" s="139">
        <f>3.83+111.78</f>
        <v>115.61</v>
      </c>
      <c r="M10" s="8">
        <f>7188.47+1</f>
        <v>7189.47</v>
      </c>
      <c r="N10" s="6"/>
    </row>
    <row r="11" spans="1:14" ht="17.25" customHeight="1">
      <c r="A11" s="53">
        <f>+A10+1</f>
        <v>2</v>
      </c>
      <c r="B11" s="12"/>
      <c r="C11" s="79" t="s">
        <v>49</v>
      </c>
      <c r="D11" s="140"/>
      <c r="E11" s="137"/>
      <c r="F11" s="141"/>
      <c r="G11" s="139"/>
      <c r="H11" s="140"/>
      <c r="I11" s="139"/>
      <c r="M11" s="8"/>
      <c r="N11" s="6"/>
    </row>
    <row r="12" spans="1:14" ht="17.25" customHeight="1">
      <c r="A12" s="53"/>
      <c r="B12" s="12"/>
      <c r="C12" s="79" t="s">
        <v>50</v>
      </c>
      <c r="D12" s="140"/>
      <c r="E12" s="142">
        <f>22.05</f>
        <v>22.05</v>
      </c>
      <c r="F12" s="144"/>
      <c r="G12" s="143">
        <v>0</v>
      </c>
      <c r="H12" s="140"/>
      <c r="I12" s="143">
        <v>0</v>
      </c>
      <c r="M12" s="8">
        <v>0</v>
      </c>
      <c r="N12" s="6"/>
    </row>
    <row r="13" spans="1:14" ht="17.25" customHeight="1">
      <c r="A13" s="54">
        <f>+A11+1</f>
        <v>3</v>
      </c>
      <c r="B13" s="12"/>
      <c r="C13" s="79" t="s">
        <v>12</v>
      </c>
      <c r="D13" s="140"/>
      <c r="E13" s="145">
        <v>142.13</v>
      </c>
      <c r="F13" s="144"/>
      <c r="G13" s="146">
        <v>128.95</v>
      </c>
      <c r="H13" s="140"/>
      <c r="I13" s="146">
        <v>315.81</v>
      </c>
      <c r="M13" s="32">
        <f>224.48-1</f>
        <v>223.48</v>
      </c>
      <c r="N13" s="6"/>
    </row>
    <row r="14" spans="1:14" ht="17.25" customHeight="1">
      <c r="A14" s="54">
        <f>+A13+1</f>
        <v>4</v>
      </c>
      <c r="B14" s="12"/>
      <c r="C14" s="9" t="s">
        <v>51</v>
      </c>
      <c r="D14" s="140"/>
      <c r="E14" s="147">
        <f>SUM(E10:E13)</f>
        <v>243.69</v>
      </c>
      <c r="F14" s="138"/>
      <c r="G14" s="148">
        <f>SUM(G10:G13)</f>
        <v>153.07</v>
      </c>
      <c r="H14" s="140"/>
      <c r="I14" s="148">
        <f>SUM(I10:I13)</f>
        <v>431.42</v>
      </c>
      <c r="M14" s="148">
        <f>SUM(M10:M13)</f>
        <v>7412.95</v>
      </c>
      <c r="N14" s="6"/>
    </row>
    <row r="15" spans="1:14" ht="17.25" customHeight="1">
      <c r="A15" s="53">
        <f>+A14+1</f>
        <v>5</v>
      </c>
      <c r="B15" s="12"/>
      <c r="C15" s="9" t="s">
        <v>43</v>
      </c>
      <c r="D15" s="140"/>
      <c r="E15" s="137"/>
      <c r="F15" s="138"/>
      <c r="G15" s="139"/>
      <c r="H15" s="140"/>
      <c r="I15" s="139"/>
      <c r="M15" s="139"/>
      <c r="N15" s="6"/>
    </row>
    <row r="16" spans="1:14" ht="17.25" customHeight="1">
      <c r="A16" s="53"/>
      <c r="B16" s="12"/>
      <c r="C16" s="12" t="s">
        <v>6</v>
      </c>
      <c r="D16" s="140"/>
      <c r="E16" s="142">
        <v>7.99</v>
      </c>
      <c r="F16" s="144"/>
      <c r="G16" s="143">
        <v>7.78</v>
      </c>
      <c r="H16" s="140"/>
      <c r="I16" s="143">
        <v>17.11</v>
      </c>
      <c r="M16" s="143">
        <v>391.86</v>
      </c>
      <c r="N16" s="6"/>
    </row>
    <row r="17" spans="1:14" ht="17.25" customHeight="1">
      <c r="A17" s="53"/>
      <c r="B17" s="12"/>
      <c r="C17" s="12" t="s">
        <v>14</v>
      </c>
      <c r="D17" s="140"/>
      <c r="E17" s="142">
        <v>5.06</v>
      </c>
      <c r="F17" s="144"/>
      <c r="G17" s="143">
        <v>9.92</v>
      </c>
      <c r="H17" s="140"/>
      <c r="I17" s="143">
        <v>16.06</v>
      </c>
      <c r="M17" s="143">
        <v>3185.49</v>
      </c>
      <c r="N17" s="6"/>
    </row>
    <row r="18" spans="1:14" ht="17.25" customHeight="1">
      <c r="A18" s="53"/>
      <c r="B18" s="12"/>
      <c r="C18" s="12" t="s">
        <v>15</v>
      </c>
      <c r="D18" s="140"/>
      <c r="E18" s="142">
        <v>6.21</v>
      </c>
      <c r="F18" s="144"/>
      <c r="G18" s="143">
        <v>0</v>
      </c>
      <c r="H18" s="140"/>
      <c r="I18" s="143">
        <v>0.73</v>
      </c>
      <c r="M18" s="143">
        <v>41.47</v>
      </c>
      <c r="N18" s="6"/>
    </row>
    <row r="19" spans="1:14" ht="17.25" customHeight="1">
      <c r="A19" s="53"/>
      <c r="B19" s="12"/>
      <c r="C19" s="79" t="s">
        <v>10</v>
      </c>
      <c r="D19" s="140"/>
      <c r="E19" s="142">
        <v>116.19</v>
      </c>
      <c r="F19" s="144"/>
      <c r="G19" s="143">
        <v>61.94</v>
      </c>
      <c r="H19" s="140"/>
      <c r="I19" s="143">
        <v>121.47</v>
      </c>
      <c r="M19" s="143">
        <v>1040.23</v>
      </c>
      <c r="N19" s="6"/>
    </row>
    <row r="20" spans="1:14" ht="17.25" customHeight="1">
      <c r="A20" s="53"/>
      <c r="B20" s="12"/>
      <c r="C20" s="79" t="s">
        <v>13</v>
      </c>
      <c r="D20" s="140"/>
      <c r="E20" s="142">
        <v>154.94</v>
      </c>
      <c r="F20" s="144"/>
      <c r="G20" s="143">
        <v>146.09</v>
      </c>
      <c r="H20" s="140"/>
      <c r="I20" s="143">
        <v>329.57</v>
      </c>
      <c r="M20" s="143">
        <f>6733.96-SUM(M16:M19)</f>
        <v>2074.9100000000008</v>
      </c>
      <c r="N20" s="6"/>
    </row>
    <row r="21" spans="1:14" ht="17.25" customHeight="1">
      <c r="A21" s="53"/>
      <c r="B21" s="12"/>
      <c r="C21" s="12" t="s">
        <v>25</v>
      </c>
      <c r="D21" s="140"/>
      <c r="E21" s="147">
        <f>SUM(E16:E20)</f>
        <v>290.39</v>
      </c>
      <c r="F21" s="138"/>
      <c r="G21" s="148">
        <f>SUM(G16:G20)</f>
        <v>225.73000000000002</v>
      </c>
      <c r="H21" s="140"/>
      <c r="I21" s="148">
        <f>SUM(I16:I20)</f>
        <v>484.94</v>
      </c>
      <c r="M21" s="148">
        <f>SUM(M16:M20)</f>
        <v>6733.96</v>
      </c>
      <c r="N21" s="6"/>
    </row>
    <row r="22" spans="1:15" ht="17.25" customHeight="1">
      <c r="A22" s="53">
        <f>+A15+1</f>
        <v>6</v>
      </c>
      <c r="B22" s="12"/>
      <c r="C22" s="79" t="s">
        <v>44</v>
      </c>
      <c r="D22" s="140"/>
      <c r="E22" s="142">
        <f>39.15</f>
        <v>39.15</v>
      </c>
      <c r="F22" s="144"/>
      <c r="G22" s="143">
        <v>19.13</v>
      </c>
      <c r="H22" s="140"/>
      <c r="I22" s="143">
        <v>57.07</v>
      </c>
      <c r="L22" s="68"/>
      <c r="M22" s="143">
        <v>196.97</v>
      </c>
      <c r="N22" s="69"/>
      <c r="O22" s="68"/>
    </row>
    <row r="23" spans="1:14" ht="17.25" customHeight="1">
      <c r="A23" s="53">
        <f>+A22+1</f>
        <v>7</v>
      </c>
      <c r="B23" s="12"/>
      <c r="C23" s="79" t="s">
        <v>45</v>
      </c>
      <c r="D23" s="140"/>
      <c r="E23" s="145">
        <v>62.09</v>
      </c>
      <c r="F23" s="144"/>
      <c r="G23" s="146">
        <v>62.15</v>
      </c>
      <c r="H23" s="140"/>
      <c r="I23" s="146">
        <v>117.81</v>
      </c>
      <c r="M23" s="146">
        <v>113.36</v>
      </c>
      <c r="N23" s="6"/>
    </row>
    <row r="24" spans="1:14" ht="17.25" customHeight="1">
      <c r="A24" s="53">
        <f>+A23+1</f>
        <v>8</v>
      </c>
      <c r="B24" s="12"/>
      <c r="C24" s="78" t="s">
        <v>55</v>
      </c>
      <c r="D24" s="140"/>
      <c r="E24" s="142">
        <f>+E14-E21-E22-E23</f>
        <v>-147.94</v>
      </c>
      <c r="F24" s="144"/>
      <c r="G24" s="143">
        <f>+G14-G21-G22-G23</f>
        <v>-153.94000000000003</v>
      </c>
      <c r="H24" s="140"/>
      <c r="I24" s="143">
        <f>+I14-I21-I22-I23</f>
        <v>-228.39999999999998</v>
      </c>
      <c r="M24" s="143">
        <f>+M14-M21-M22-M23</f>
        <v>368.65999999999974</v>
      </c>
      <c r="N24" s="6"/>
    </row>
    <row r="25" spans="1:14" ht="17.25" customHeight="1">
      <c r="A25" s="53">
        <f>+A24+1</f>
        <v>9</v>
      </c>
      <c r="B25" s="12"/>
      <c r="C25" s="79" t="s">
        <v>53</v>
      </c>
      <c r="D25" s="140"/>
      <c r="E25" s="145">
        <v>33.49</v>
      </c>
      <c r="F25" s="144"/>
      <c r="G25" s="146">
        <v>32.68</v>
      </c>
      <c r="H25" s="140"/>
      <c r="I25" s="146">
        <v>61.66</v>
      </c>
      <c r="M25" s="146">
        <v>432.2</v>
      </c>
      <c r="N25" s="6"/>
    </row>
    <row r="26" spans="1:14" ht="17.25" customHeight="1">
      <c r="A26" s="53">
        <f>+A25+1</f>
        <v>10</v>
      </c>
      <c r="B26" s="12"/>
      <c r="C26" s="78" t="s">
        <v>46</v>
      </c>
      <c r="D26" s="140"/>
      <c r="E26" s="137">
        <f>+E24-E25</f>
        <v>-181.43</v>
      </c>
      <c r="F26" s="138"/>
      <c r="G26" s="139">
        <f>+G24-G25</f>
        <v>-186.62000000000003</v>
      </c>
      <c r="H26" s="140"/>
      <c r="I26" s="139">
        <f>+I24-I25</f>
        <v>-290.05999999999995</v>
      </c>
      <c r="M26" s="139">
        <f>+M24-M25</f>
        <v>-63.54000000000025</v>
      </c>
      <c r="N26" s="6"/>
    </row>
    <row r="27" spans="1:14" ht="17.25" customHeight="1">
      <c r="A27" s="53">
        <f>+A26+1</f>
        <v>11</v>
      </c>
      <c r="B27" s="12"/>
      <c r="C27" s="12" t="s">
        <v>4</v>
      </c>
      <c r="D27" s="140"/>
      <c r="E27" s="149"/>
      <c r="F27" s="140"/>
      <c r="G27" s="150"/>
      <c r="H27" s="140"/>
      <c r="I27" s="150"/>
      <c r="M27" s="150"/>
      <c r="N27" s="6"/>
    </row>
    <row r="28" spans="1:14" ht="17.25" customHeight="1">
      <c r="A28" s="53"/>
      <c r="B28" s="12"/>
      <c r="C28" s="12" t="s">
        <v>16</v>
      </c>
      <c r="D28" s="140"/>
      <c r="E28" s="145">
        <v>18.97</v>
      </c>
      <c r="F28" s="144"/>
      <c r="G28" s="146">
        <v>2.44</v>
      </c>
      <c r="H28" s="140"/>
      <c r="I28" s="146">
        <v>7.5</v>
      </c>
      <c r="M28" s="146">
        <v>0</v>
      </c>
      <c r="N28" s="6"/>
    </row>
    <row r="29" spans="1:14" ht="17.25" customHeight="1">
      <c r="A29" s="53">
        <f>+A27+1</f>
        <v>12</v>
      </c>
      <c r="B29" s="12"/>
      <c r="C29" s="78" t="s">
        <v>54</v>
      </c>
      <c r="D29" s="152"/>
      <c r="E29" s="137">
        <f>+E26-E28</f>
        <v>-200.4</v>
      </c>
      <c r="F29" s="141"/>
      <c r="G29" s="139">
        <f>+G26-G28</f>
        <v>-189.06000000000003</v>
      </c>
      <c r="H29" s="152"/>
      <c r="I29" s="139">
        <f>+I26-I28</f>
        <v>-297.55999999999995</v>
      </c>
      <c r="L29" s="11"/>
      <c r="M29" s="139">
        <f>+M26-M28</f>
        <v>-63.54000000000025</v>
      </c>
      <c r="N29" s="6"/>
    </row>
    <row r="30" spans="1:14" ht="17.25" customHeight="1">
      <c r="A30" s="53">
        <f>+A29+1</f>
        <v>13</v>
      </c>
      <c r="B30" s="12"/>
      <c r="C30" s="12" t="s">
        <v>5</v>
      </c>
      <c r="D30" s="140"/>
      <c r="E30" s="142"/>
      <c r="F30" s="144"/>
      <c r="G30" s="143"/>
      <c r="H30" s="140"/>
      <c r="I30" s="143"/>
      <c r="M30" s="143"/>
      <c r="N30" s="6"/>
    </row>
    <row r="31" spans="1:14" ht="17.25" customHeight="1">
      <c r="A31" s="53"/>
      <c r="B31" s="12"/>
      <c r="C31" s="12" t="s">
        <v>17</v>
      </c>
      <c r="D31" s="140"/>
      <c r="E31" s="142">
        <v>0.5</v>
      </c>
      <c r="F31" s="144"/>
      <c r="G31" s="143">
        <v>0</v>
      </c>
      <c r="H31" s="140"/>
      <c r="I31" s="143">
        <v>1.5</v>
      </c>
      <c r="M31" s="143">
        <v>2</v>
      </c>
      <c r="N31" s="6"/>
    </row>
    <row r="32" spans="1:14" ht="17.25" customHeight="1">
      <c r="A32" s="53"/>
      <c r="B32" s="12"/>
      <c r="C32" s="12" t="s">
        <v>18</v>
      </c>
      <c r="D32" s="140"/>
      <c r="E32" s="145">
        <v>0</v>
      </c>
      <c r="F32" s="144"/>
      <c r="G32" s="153">
        <v>0</v>
      </c>
      <c r="H32" s="140"/>
      <c r="I32" s="146">
        <v>0</v>
      </c>
      <c r="K32" s="4"/>
      <c r="M32" s="153">
        <v>-35</v>
      </c>
      <c r="N32" s="6"/>
    </row>
    <row r="33" spans="1:14" ht="17.25" customHeight="1" thickBot="1">
      <c r="A33" s="53">
        <f>+A30+1</f>
        <v>14</v>
      </c>
      <c r="B33" s="12"/>
      <c r="C33" s="9" t="s">
        <v>47</v>
      </c>
      <c r="D33" s="140"/>
      <c r="E33" s="154">
        <f>+E29-E31-E32</f>
        <v>-200.9</v>
      </c>
      <c r="F33" s="141"/>
      <c r="G33" s="155">
        <f>+G29-G31-G32</f>
        <v>-189.06000000000003</v>
      </c>
      <c r="H33" s="140"/>
      <c r="I33" s="155">
        <f>+I29-I31-I32</f>
        <v>-299.05999999999995</v>
      </c>
      <c r="M33" s="155">
        <f>+M29-M31-M32</f>
        <v>-30.540000000000248</v>
      </c>
      <c r="N33" s="16"/>
    </row>
    <row r="34" spans="1:14" ht="6" customHeight="1" thickTop="1">
      <c r="A34" s="53"/>
      <c r="B34" s="12"/>
      <c r="C34" s="9"/>
      <c r="D34" s="140"/>
      <c r="E34" s="137"/>
      <c r="F34" s="141"/>
      <c r="G34" s="139"/>
      <c r="H34" s="140"/>
      <c r="I34" s="139"/>
      <c r="M34" s="139"/>
      <c r="N34" s="16"/>
    </row>
    <row r="35" spans="1:14" ht="17.25" customHeight="1">
      <c r="A35" s="54">
        <f>+A33+1</f>
        <v>15</v>
      </c>
      <c r="B35" s="12"/>
      <c r="C35" s="80" t="s">
        <v>19</v>
      </c>
      <c r="D35" s="140"/>
      <c r="E35" s="156">
        <v>257.43</v>
      </c>
      <c r="F35" s="141"/>
      <c r="G35" s="157">
        <v>257.43</v>
      </c>
      <c r="H35" s="140"/>
      <c r="I35" s="157">
        <v>257.43</v>
      </c>
      <c r="M35" s="157">
        <v>1245.34</v>
      </c>
      <c r="N35" s="6"/>
    </row>
    <row r="36" spans="1:14" ht="17.25" customHeight="1">
      <c r="A36" s="53"/>
      <c r="B36" s="12"/>
      <c r="C36" s="15" t="s">
        <v>11</v>
      </c>
      <c r="D36" s="140"/>
      <c r="E36" s="159"/>
      <c r="F36" s="144"/>
      <c r="G36" s="159"/>
      <c r="H36" s="140"/>
      <c r="I36" s="159"/>
      <c r="M36" s="159"/>
      <c r="N36" s="6"/>
    </row>
    <row r="37" spans="1:14" ht="17.25" customHeight="1">
      <c r="A37" s="54">
        <f>+A35+1</f>
        <v>16</v>
      </c>
      <c r="B37" s="12"/>
      <c r="C37" s="80" t="s">
        <v>0</v>
      </c>
      <c r="D37" s="140"/>
      <c r="E37" s="160"/>
      <c r="F37" s="141"/>
      <c r="G37" s="160"/>
      <c r="H37" s="140"/>
      <c r="I37" s="160">
        <v>5407.11</v>
      </c>
      <c r="L37" s="2"/>
      <c r="M37" s="160"/>
      <c r="N37" s="6"/>
    </row>
    <row r="38" spans="1:13" ht="17.25" customHeight="1">
      <c r="A38" s="54">
        <f>+A37+1</f>
        <v>17</v>
      </c>
      <c r="B38" s="29"/>
      <c r="C38" s="55" t="s">
        <v>20</v>
      </c>
      <c r="D38" s="55"/>
      <c r="E38" s="62">
        <f>+E33/E35*10</f>
        <v>-7.804063240492561</v>
      </c>
      <c r="F38" s="55"/>
      <c r="G38" s="64">
        <f>+G33/G35*10</f>
        <v>-7.344132385502856</v>
      </c>
      <c r="H38" s="55"/>
      <c r="I38" s="64">
        <f>+I33/I35*10</f>
        <v>-11.61713863963019</v>
      </c>
      <c r="M38" s="64">
        <f>+M33/M35*10</f>
        <v>-0.24523423322145158</v>
      </c>
    </row>
    <row r="39" spans="1:13" ht="23.25" customHeight="1" thickBot="1">
      <c r="A39" s="59"/>
      <c r="B39" s="60"/>
      <c r="C39" s="81" t="s">
        <v>21</v>
      </c>
      <c r="D39" s="61"/>
      <c r="E39" s="292" t="s">
        <v>58</v>
      </c>
      <c r="F39" s="60"/>
      <c r="G39" s="293" t="s">
        <v>58</v>
      </c>
      <c r="H39" s="60"/>
      <c r="I39" s="293" t="s">
        <v>8</v>
      </c>
      <c r="M39" s="65" t="s">
        <v>58</v>
      </c>
    </row>
    <row r="40" spans="1:13" ht="18" customHeight="1" hidden="1">
      <c r="A40" s="54">
        <f>+A38+1</f>
        <v>18</v>
      </c>
      <c r="B40" s="29"/>
      <c r="C40" s="55" t="s">
        <v>22</v>
      </c>
      <c r="D40" s="56"/>
      <c r="E40" s="63"/>
      <c r="F40" s="29"/>
      <c r="G40" s="65"/>
      <c r="H40" s="29"/>
      <c r="I40" s="65"/>
      <c r="M40" s="65"/>
    </row>
    <row r="41" spans="1:13" ht="20.25" customHeight="1" hidden="1">
      <c r="A41" s="54"/>
      <c r="B41" s="29"/>
      <c r="C41" s="55" t="s">
        <v>23</v>
      </c>
      <c r="D41" s="57"/>
      <c r="E41" s="82">
        <v>0</v>
      </c>
      <c r="F41" s="57"/>
      <c r="G41" s="66">
        <v>3648159</v>
      </c>
      <c r="H41" s="58"/>
      <c r="I41" s="66">
        <v>3636659</v>
      </c>
      <c r="M41" s="66">
        <v>3648159</v>
      </c>
    </row>
    <row r="42" spans="1:13" ht="20.25" customHeight="1" hidden="1" thickBot="1">
      <c r="A42" s="59"/>
      <c r="B42" s="60"/>
      <c r="C42" s="81" t="s">
        <v>24</v>
      </c>
      <c r="D42" s="61"/>
      <c r="E42" s="71">
        <f>+E41/12453402</f>
        <v>0</v>
      </c>
      <c r="F42" s="60"/>
      <c r="G42" s="67">
        <f>+G41/12453402</f>
        <v>0.29294477123600443</v>
      </c>
      <c r="H42" s="29"/>
      <c r="I42" s="67">
        <f>+I41/12453402</f>
        <v>0.2920213287903177</v>
      </c>
      <c r="M42" s="67">
        <f>+M41/12453402</f>
        <v>0.29294477123600443</v>
      </c>
    </row>
    <row r="43" spans="1:13" ht="6" customHeight="1">
      <c r="A43" s="19"/>
      <c r="C43" s="23"/>
      <c r="D43" s="11"/>
      <c r="E43" s="33"/>
      <c r="G43" s="34"/>
      <c r="H43" s="29"/>
      <c r="I43" s="34"/>
      <c r="M43" s="34"/>
    </row>
    <row r="44" spans="1:13" ht="20.25" customHeight="1">
      <c r="A44" s="19"/>
      <c r="C44" s="23"/>
      <c r="E44" s="33"/>
      <c r="F44" s="11"/>
      <c r="G44" s="33"/>
      <c r="I44" s="33"/>
      <c r="K44" s="33"/>
      <c r="M44" s="33"/>
    </row>
    <row r="45" s="4" customFormat="1" ht="15.75">
      <c r="A45" s="13"/>
    </row>
    <row r="46" s="4" customFormat="1" ht="15.75">
      <c r="A46" s="13"/>
    </row>
    <row r="47" s="4" customFormat="1" ht="15.75">
      <c r="A47" s="13"/>
    </row>
    <row r="48" s="4" customFormat="1" ht="15.75">
      <c r="A48" s="13"/>
    </row>
    <row r="49" s="4" customFormat="1" ht="15.75">
      <c r="A49" s="13"/>
    </row>
    <row r="50" s="4" customFormat="1" ht="15.75">
      <c r="A50" s="13"/>
    </row>
    <row r="51" s="4" customFormat="1" ht="15.75">
      <c r="A51" s="13"/>
    </row>
    <row r="52" s="4" customFormat="1" ht="15.75">
      <c r="A52" s="13"/>
    </row>
    <row r="53" s="4" customFormat="1" ht="15.75">
      <c r="A53" s="13"/>
    </row>
    <row r="54" s="4" customFormat="1" ht="15.75">
      <c r="A54" s="13"/>
    </row>
    <row r="55" s="4" customFormat="1" ht="15.75">
      <c r="A55" s="13"/>
    </row>
    <row r="56" s="4" customFormat="1" ht="15.75">
      <c r="A56" s="13"/>
    </row>
    <row r="57" s="4" customFormat="1" ht="15.75">
      <c r="A57" s="13"/>
    </row>
    <row r="58" s="4" customFormat="1" ht="15.75">
      <c r="A58" s="13"/>
    </row>
    <row r="59" s="4" customFormat="1" ht="15.75">
      <c r="A59" s="13"/>
    </row>
    <row r="60" s="4" customFormat="1" ht="15.75">
      <c r="A60" s="13"/>
    </row>
    <row r="61" s="4" customFormat="1" ht="15.75">
      <c r="A61" s="13"/>
    </row>
    <row r="62" s="4" customFormat="1" ht="15.75">
      <c r="A62" s="13"/>
    </row>
    <row r="63" s="4" customFormat="1" ht="15.75">
      <c r="A63" s="13"/>
    </row>
    <row r="64" s="4" customFormat="1" ht="15.75">
      <c r="A64" s="13"/>
    </row>
    <row r="65" s="4" customFormat="1" ht="15.75">
      <c r="A65" s="13"/>
    </row>
    <row r="66" s="4" customFormat="1" ht="15.75">
      <c r="A66" s="13"/>
    </row>
    <row r="67" s="4" customFormat="1" ht="15.75">
      <c r="A67" s="13"/>
    </row>
    <row r="68" s="4" customFormat="1" ht="15.75">
      <c r="A68" s="13"/>
    </row>
    <row r="69" s="4" customFormat="1" ht="15.75">
      <c r="A69" s="13"/>
    </row>
    <row r="70" s="4" customFormat="1" ht="15.75">
      <c r="A70" s="13"/>
    </row>
    <row r="71" s="4" customFormat="1" ht="15.75">
      <c r="A71" s="13"/>
    </row>
    <row r="72" s="4" customFormat="1" ht="15.75">
      <c r="A72" s="13"/>
    </row>
    <row r="73" s="4" customFormat="1" ht="15.75">
      <c r="A73" s="13"/>
    </row>
    <row r="74" s="4" customFormat="1" ht="15.75">
      <c r="A74" s="13"/>
    </row>
    <row r="75" s="4" customFormat="1" ht="15.75">
      <c r="A75" s="13"/>
    </row>
    <row r="76" s="4" customFormat="1" ht="15.75">
      <c r="A76" s="13"/>
    </row>
    <row r="77" s="4" customFormat="1" ht="15.75">
      <c r="A77" s="13"/>
    </row>
    <row r="78" s="4" customFormat="1" ht="15.75">
      <c r="A78" s="13"/>
    </row>
    <row r="79" s="4" customFormat="1" ht="15.75">
      <c r="A79" s="13"/>
    </row>
    <row r="80" s="4" customFormat="1" ht="15.75">
      <c r="A80" s="13"/>
    </row>
    <row r="81" s="4" customFormat="1" ht="15.75">
      <c r="A81" s="13"/>
    </row>
    <row r="82" s="4" customFormat="1" ht="15.75">
      <c r="A82" s="13"/>
    </row>
    <row r="83" s="4" customFormat="1" ht="15.75">
      <c r="A83" s="13"/>
    </row>
    <row r="84" s="4" customFormat="1" ht="15.75">
      <c r="A84" s="13"/>
    </row>
    <row r="85" s="4" customFormat="1" ht="15.75">
      <c r="A85" s="13"/>
    </row>
    <row r="86" s="4" customFormat="1" ht="15.75">
      <c r="A86" s="13"/>
    </row>
    <row r="87" s="4" customFormat="1" ht="15.75">
      <c r="A87" s="13"/>
    </row>
    <row r="88" s="4" customFormat="1" ht="15.75">
      <c r="A88" s="13"/>
    </row>
    <row r="89" s="4" customFormat="1" ht="15.75">
      <c r="A89" s="13"/>
    </row>
    <row r="90" s="4" customFormat="1" ht="15.75">
      <c r="A90" s="13"/>
    </row>
    <row r="91" s="4" customFormat="1" ht="15.75">
      <c r="A91" s="13"/>
    </row>
    <row r="92" s="4" customFormat="1" ht="15.75">
      <c r="A92" s="13"/>
    </row>
    <row r="93" s="4" customFormat="1" ht="15.75">
      <c r="A93" s="13"/>
    </row>
    <row r="94" s="4" customFormat="1" ht="15.75">
      <c r="A94" s="13"/>
    </row>
    <row r="95" s="4" customFormat="1" ht="15.75">
      <c r="A95" s="13"/>
    </row>
    <row r="96" s="4" customFormat="1" ht="15.75">
      <c r="A96" s="13"/>
    </row>
    <row r="97" s="4" customFormat="1" ht="15.75">
      <c r="A97" s="13"/>
    </row>
    <row r="98" s="4" customFormat="1" ht="15.75">
      <c r="A98" s="13"/>
    </row>
    <row r="99" s="4" customFormat="1" ht="15.75">
      <c r="A99" s="13"/>
    </row>
    <row r="100" s="4" customFormat="1" ht="15.75">
      <c r="A100" s="13"/>
    </row>
    <row r="101" s="4" customFormat="1" ht="15.75">
      <c r="A101" s="13"/>
    </row>
    <row r="102" s="4" customFormat="1" ht="15.75">
      <c r="A102" s="13"/>
    </row>
    <row r="103" s="4" customFormat="1" ht="15.75">
      <c r="A103" s="13"/>
    </row>
    <row r="104" s="4" customFormat="1" ht="15.75">
      <c r="A104" s="13"/>
    </row>
    <row r="105" s="4" customFormat="1" ht="15.75">
      <c r="A105" s="13"/>
    </row>
    <row r="106" s="4" customFormat="1" ht="15.75">
      <c r="A106" s="13"/>
    </row>
    <row r="107" s="4" customFormat="1" ht="15.75">
      <c r="A107" s="13"/>
    </row>
    <row r="108" s="4" customFormat="1" ht="15.75">
      <c r="A108" s="13"/>
    </row>
    <row r="109" s="4" customFormat="1" ht="15.75">
      <c r="A109" s="13"/>
    </row>
    <row r="110" s="4" customFormat="1" ht="15.75">
      <c r="A110" s="13"/>
    </row>
    <row r="111" s="4" customFormat="1" ht="15.75">
      <c r="A111" s="13"/>
    </row>
    <row r="112" s="4" customFormat="1" ht="15.75">
      <c r="A112" s="13"/>
    </row>
    <row r="113" s="4" customFormat="1" ht="15.75">
      <c r="A113" s="13"/>
    </row>
    <row r="114" s="4" customFormat="1" ht="15.75">
      <c r="A114" s="13"/>
    </row>
    <row r="115" s="4" customFormat="1" ht="15.75">
      <c r="A115" s="13"/>
    </row>
    <row r="116" s="4" customFormat="1" ht="15.75">
      <c r="A116" s="13"/>
    </row>
    <row r="117" s="4" customFormat="1" ht="15.75">
      <c r="A117" s="13"/>
    </row>
    <row r="118" s="4" customFormat="1" ht="15.75">
      <c r="A118" s="13"/>
    </row>
    <row r="119" s="4" customFormat="1" ht="15.75">
      <c r="A119" s="13"/>
    </row>
    <row r="120" s="4" customFormat="1" ht="15.75">
      <c r="A120" s="13"/>
    </row>
    <row r="121" s="4" customFormat="1" ht="15.75">
      <c r="A121" s="13"/>
    </row>
    <row r="122" s="4" customFormat="1" ht="15.75">
      <c r="A122" s="13"/>
    </row>
    <row r="123" s="4" customFormat="1" ht="15.75">
      <c r="A123" s="13"/>
    </row>
    <row r="124" s="4" customFormat="1" ht="15.75">
      <c r="A124" s="13"/>
    </row>
    <row r="125" s="4" customFormat="1" ht="15.75">
      <c r="A125" s="13"/>
    </row>
    <row r="126" s="4" customFormat="1" ht="15.75">
      <c r="A126" s="13"/>
    </row>
    <row r="127" s="4" customFormat="1" ht="15.75">
      <c r="A127" s="13"/>
    </row>
    <row r="128" s="4" customFormat="1" ht="15.75">
      <c r="A128" s="13"/>
    </row>
    <row r="129" s="4" customFormat="1" ht="15.75">
      <c r="A129" s="13"/>
    </row>
    <row r="130" s="4" customFormat="1" ht="15.75">
      <c r="A130" s="13"/>
    </row>
    <row r="131" s="4" customFormat="1" ht="15.75">
      <c r="A131" s="13"/>
    </row>
    <row r="132" s="4" customFormat="1" ht="15.75">
      <c r="A132" s="13"/>
    </row>
    <row r="133" s="4" customFormat="1" ht="15.75">
      <c r="A133" s="13"/>
    </row>
    <row r="134" s="4" customFormat="1" ht="15.75">
      <c r="A134" s="13"/>
    </row>
    <row r="135" s="4" customFormat="1" ht="15.75">
      <c r="A135" s="13"/>
    </row>
    <row r="136" s="4" customFormat="1" ht="15.75">
      <c r="A136" s="13"/>
    </row>
    <row r="137" s="4" customFormat="1" ht="15.75">
      <c r="A137" s="13"/>
    </row>
    <row r="138" s="4" customFormat="1" ht="15.75">
      <c r="A138" s="13"/>
    </row>
    <row r="139" s="4" customFormat="1" ht="15.75">
      <c r="A139" s="13"/>
    </row>
    <row r="140" s="4" customFormat="1" ht="15.75">
      <c r="A140" s="13"/>
    </row>
    <row r="141" s="4" customFormat="1" ht="15.75">
      <c r="A141" s="13"/>
    </row>
    <row r="142" s="4" customFormat="1" ht="15.75">
      <c r="A142" s="13"/>
    </row>
    <row r="143" s="4" customFormat="1" ht="15.75">
      <c r="A143" s="13"/>
    </row>
    <row r="144" s="4" customFormat="1" ht="15.75">
      <c r="A144" s="13"/>
    </row>
    <row r="145" s="4" customFormat="1" ht="15.75">
      <c r="A145" s="13"/>
    </row>
    <row r="146" s="4" customFormat="1" ht="15.75">
      <c r="A146" s="13"/>
    </row>
    <row r="147" s="4" customFormat="1" ht="15.75">
      <c r="A147" s="13"/>
    </row>
    <row r="148" s="4" customFormat="1" ht="15.75">
      <c r="A148" s="13"/>
    </row>
    <row r="149" s="4" customFormat="1" ht="15.75">
      <c r="A149" s="13"/>
    </row>
    <row r="150" s="4" customFormat="1" ht="15.75">
      <c r="A150" s="13"/>
    </row>
    <row r="151" s="4" customFormat="1" ht="15.75">
      <c r="A151" s="13"/>
    </row>
    <row r="152" s="4" customFormat="1" ht="15.75">
      <c r="A152" s="13"/>
    </row>
    <row r="153" s="4" customFormat="1" ht="15.75">
      <c r="A153" s="13"/>
    </row>
    <row r="154" s="4" customFormat="1" ht="15.75">
      <c r="A154" s="13"/>
    </row>
    <row r="155" s="4" customFormat="1" ht="15.75">
      <c r="A155" s="13"/>
    </row>
    <row r="156" s="4" customFormat="1" ht="15.75">
      <c r="A156" s="13"/>
    </row>
    <row r="157" s="4" customFormat="1" ht="15.75">
      <c r="A157" s="13"/>
    </row>
    <row r="158" s="4" customFormat="1" ht="15.75">
      <c r="A158" s="13"/>
    </row>
    <row r="159" s="4" customFormat="1" ht="15.75">
      <c r="A159" s="13"/>
    </row>
    <row r="160" s="4" customFormat="1" ht="15.75">
      <c r="A160" s="13"/>
    </row>
    <row r="161" s="4" customFormat="1" ht="15.75">
      <c r="A161" s="13"/>
    </row>
    <row r="162" s="4" customFormat="1" ht="15.75">
      <c r="A162" s="13"/>
    </row>
    <row r="163" s="4" customFormat="1" ht="15.75">
      <c r="A163" s="13"/>
    </row>
    <row r="164" s="4" customFormat="1" ht="15.75">
      <c r="A164" s="13"/>
    </row>
    <row r="165" s="4" customFormat="1" ht="15.75">
      <c r="A165" s="13"/>
    </row>
    <row r="166" s="4" customFormat="1" ht="15.75">
      <c r="A166" s="13"/>
    </row>
    <row r="167" s="4" customFormat="1" ht="15.75">
      <c r="A167" s="13"/>
    </row>
    <row r="168" s="4" customFormat="1" ht="15.75">
      <c r="A168" s="13"/>
    </row>
    <row r="169" s="4" customFormat="1" ht="15.75">
      <c r="A169" s="13"/>
    </row>
    <row r="170" s="4" customFormat="1" ht="15.75">
      <c r="A170" s="13"/>
    </row>
    <row r="171" s="4" customFormat="1" ht="15.75">
      <c r="A171" s="13"/>
    </row>
    <row r="172" s="4" customFormat="1" ht="15.75">
      <c r="A172" s="13"/>
    </row>
    <row r="173" s="4" customFormat="1" ht="15.75">
      <c r="A173" s="13"/>
    </row>
    <row r="174" s="4" customFormat="1" ht="15.75">
      <c r="A174" s="13"/>
    </row>
    <row r="175" s="4" customFormat="1" ht="15.75">
      <c r="A175" s="13"/>
    </row>
    <row r="176" s="4" customFormat="1" ht="15.75">
      <c r="A176" s="13"/>
    </row>
    <row r="177" s="4" customFormat="1" ht="15.75">
      <c r="A177" s="13"/>
    </row>
    <row r="178" s="4" customFormat="1" ht="15.75">
      <c r="A178" s="13"/>
    </row>
    <row r="179" s="4" customFormat="1" ht="15.75">
      <c r="A179" s="13"/>
    </row>
    <row r="180" s="4" customFormat="1" ht="15.75">
      <c r="A180" s="13"/>
    </row>
    <row r="181" s="4" customFormat="1" ht="15.75">
      <c r="A181" s="13"/>
    </row>
    <row r="182" s="4" customFormat="1" ht="15.75">
      <c r="A182" s="13"/>
    </row>
    <row r="183" s="4" customFormat="1" ht="15.75">
      <c r="A183" s="13"/>
    </row>
    <row r="184" s="4" customFormat="1" ht="15.75">
      <c r="A184" s="13"/>
    </row>
    <row r="185" s="4" customFormat="1" ht="15.75">
      <c r="A185" s="13"/>
    </row>
    <row r="186" s="4" customFormat="1" ht="15.75">
      <c r="A186" s="13"/>
    </row>
    <row r="187" s="4" customFormat="1" ht="15.75">
      <c r="A187" s="13"/>
    </row>
    <row r="188" s="4" customFormat="1" ht="15.75">
      <c r="A188" s="13"/>
    </row>
    <row r="189" s="4" customFormat="1" ht="15.75">
      <c r="A189" s="13"/>
    </row>
    <row r="190" s="4" customFormat="1" ht="15.75">
      <c r="A190" s="13"/>
    </row>
    <row r="191" s="4" customFormat="1" ht="15.75">
      <c r="A191" s="13"/>
    </row>
    <row r="192" s="4" customFormat="1" ht="15.75">
      <c r="A192" s="13"/>
    </row>
    <row r="193" s="4" customFormat="1" ht="15.75">
      <c r="A193" s="13"/>
    </row>
    <row r="194" s="4" customFormat="1" ht="15.75">
      <c r="A194" s="13"/>
    </row>
    <row r="195" s="4" customFormat="1" ht="15.75">
      <c r="A195" s="13"/>
    </row>
    <row r="196" s="4" customFormat="1" ht="15.75">
      <c r="A196" s="13"/>
    </row>
    <row r="197" s="4" customFormat="1" ht="15.75">
      <c r="A197" s="13"/>
    </row>
    <row r="198" s="4" customFormat="1" ht="15.75">
      <c r="A198" s="13"/>
    </row>
    <row r="199" s="4" customFormat="1" ht="15.75">
      <c r="A199" s="13"/>
    </row>
    <row r="200" s="4" customFormat="1" ht="15.75">
      <c r="A200" s="13"/>
    </row>
    <row r="201" s="4" customFormat="1" ht="15.75">
      <c r="A201" s="13"/>
    </row>
    <row r="202" s="4" customFormat="1" ht="15.75">
      <c r="A202" s="13"/>
    </row>
    <row r="203" s="4" customFormat="1" ht="15.75">
      <c r="A203" s="13"/>
    </row>
    <row r="204" s="4" customFormat="1" ht="15.75">
      <c r="A204" s="13"/>
    </row>
    <row r="205" s="4" customFormat="1" ht="15.75">
      <c r="A205" s="13"/>
    </row>
    <row r="206" s="4" customFormat="1" ht="15.75">
      <c r="A206" s="13"/>
    </row>
    <row r="207" s="4" customFormat="1" ht="15.75">
      <c r="A207" s="13"/>
    </row>
    <row r="208" s="4" customFormat="1" ht="15.75">
      <c r="A208" s="13"/>
    </row>
    <row r="209" s="4" customFormat="1" ht="15.75">
      <c r="A209" s="13"/>
    </row>
    <row r="210" s="4" customFormat="1" ht="15.75">
      <c r="A210" s="13"/>
    </row>
    <row r="211" s="4" customFormat="1" ht="15.75">
      <c r="A211" s="13"/>
    </row>
    <row r="212" s="4" customFormat="1" ht="15.75">
      <c r="A212" s="13"/>
    </row>
    <row r="213" s="4" customFormat="1" ht="15.75">
      <c r="A213" s="13"/>
    </row>
    <row r="214" s="4" customFormat="1" ht="15.75">
      <c r="A214" s="13"/>
    </row>
    <row r="215" s="4" customFormat="1" ht="15.75">
      <c r="A215" s="13"/>
    </row>
    <row r="216" s="4" customFormat="1" ht="15.75">
      <c r="A216" s="13"/>
    </row>
    <row r="217" s="4" customFormat="1" ht="15.75">
      <c r="A217" s="13"/>
    </row>
    <row r="218" s="4" customFormat="1" ht="15.75">
      <c r="A218" s="13"/>
    </row>
    <row r="219" s="4" customFormat="1" ht="15.75">
      <c r="A219" s="13"/>
    </row>
    <row r="220" s="4" customFormat="1" ht="15.75">
      <c r="A220" s="13"/>
    </row>
    <row r="221" s="4" customFormat="1" ht="15.75">
      <c r="A221" s="13"/>
    </row>
    <row r="222" s="4" customFormat="1" ht="15.75">
      <c r="A222" s="13"/>
    </row>
    <row r="223" s="4" customFormat="1" ht="15.75">
      <c r="A223" s="13"/>
    </row>
    <row r="224" s="4" customFormat="1" ht="15.75">
      <c r="A224" s="13"/>
    </row>
    <row r="225" s="4" customFormat="1" ht="15.75">
      <c r="A225" s="13"/>
    </row>
    <row r="226" s="4" customFormat="1" ht="15.75">
      <c r="A226" s="13"/>
    </row>
    <row r="227" s="4" customFormat="1" ht="15.75">
      <c r="A227" s="13"/>
    </row>
    <row r="228" s="4" customFormat="1" ht="15.75">
      <c r="A228" s="13"/>
    </row>
    <row r="229" s="4" customFormat="1" ht="15.75">
      <c r="A229" s="13"/>
    </row>
    <row r="230" s="4" customFormat="1" ht="15.75">
      <c r="A230" s="13"/>
    </row>
    <row r="231" s="4" customFormat="1" ht="15.75">
      <c r="A231" s="13"/>
    </row>
    <row r="232" s="4" customFormat="1" ht="15.75">
      <c r="A232" s="13"/>
    </row>
    <row r="233" s="4" customFormat="1" ht="15.75">
      <c r="A233" s="13"/>
    </row>
    <row r="234" s="4" customFormat="1" ht="15.75">
      <c r="A234" s="13"/>
    </row>
    <row r="235" s="4" customFormat="1" ht="15.75">
      <c r="A235" s="13"/>
    </row>
    <row r="236" s="4" customFormat="1" ht="15.75">
      <c r="A236" s="13"/>
    </row>
    <row r="237" s="4" customFormat="1" ht="15.75">
      <c r="A237" s="13"/>
    </row>
    <row r="238" s="4" customFormat="1" ht="15.75">
      <c r="A238" s="13"/>
    </row>
    <row r="239" s="4" customFormat="1" ht="15.75">
      <c r="A239" s="13"/>
    </row>
    <row r="240" s="4" customFormat="1" ht="15.75">
      <c r="A240" s="13"/>
    </row>
    <row r="241" s="4" customFormat="1" ht="15.75">
      <c r="A241" s="13"/>
    </row>
    <row r="242" s="4" customFormat="1" ht="15.75">
      <c r="A242" s="13"/>
    </row>
    <row r="243" s="4" customFormat="1" ht="15.75">
      <c r="A243" s="13"/>
    </row>
    <row r="244" s="4" customFormat="1" ht="15.75">
      <c r="A244" s="13"/>
    </row>
    <row r="245" s="4" customFormat="1" ht="15.75">
      <c r="A245" s="13"/>
    </row>
    <row r="246" s="4" customFormat="1" ht="15.75">
      <c r="A246" s="13"/>
    </row>
    <row r="247" s="4" customFormat="1" ht="15.75">
      <c r="A247" s="13"/>
    </row>
    <row r="248" s="4" customFormat="1" ht="15.75">
      <c r="A248" s="13"/>
    </row>
    <row r="249" s="4" customFormat="1" ht="15.75">
      <c r="A249" s="13"/>
    </row>
    <row r="250" s="4" customFormat="1" ht="15.75">
      <c r="A250" s="13"/>
    </row>
    <row r="251" s="4" customFormat="1" ht="15.75">
      <c r="A251" s="13"/>
    </row>
    <row r="252" s="4" customFormat="1" ht="15.75">
      <c r="A252" s="13"/>
    </row>
    <row r="253" s="4" customFormat="1" ht="15.75">
      <c r="A253" s="13"/>
    </row>
    <row r="254" s="4" customFormat="1" ht="15.75">
      <c r="A254" s="13"/>
    </row>
    <row r="255" s="4" customFormat="1" ht="15.75">
      <c r="A255" s="13"/>
    </row>
    <row r="256" s="4" customFormat="1" ht="15.75">
      <c r="A256" s="13"/>
    </row>
    <row r="257" s="4" customFormat="1" ht="15.75">
      <c r="A257" s="13"/>
    </row>
    <row r="258" s="4" customFormat="1" ht="15.75">
      <c r="A258" s="13"/>
    </row>
    <row r="259" s="4" customFormat="1" ht="15.75">
      <c r="A259" s="13"/>
    </row>
    <row r="260" s="4" customFormat="1" ht="15.75">
      <c r="A260" s="13"/>
    </row>
    <row r="261" s="4" customFormat="1" ht="15.75">
      <c r="A261" s="13"/>
    </row>
    <row r="262" s="4" customFormat="1" ht="15.75">
      <c r="A262" s="13"/>
    </row>
    <row r="263" s="4" customFormat="1" ht="15.75">
      <c r="A263" s="13"/>
    </row>
    <row r="264" s="4" customFormat="1" ht="15.75">
      <c r="A264" s="13"/>
    </row>
    <row r="265" s="4" customFormat="1" ht="15.75">
      <c r="A265" s="13"/>
    </row>
    <row r="266" s="4" customFormat="1" ht="15.75">
      <c r="A266" s="13"/>
    </row>
    <row r="267" s="4" customFormat="1" ht="15.75">
      <c r="A267" s="13"/>
    </row>
    <row r="268" s="4" customFormat="1" ht="15.75">
      <c r="A268" s="13"/>
    </row>
    <row r="269" s="4" customFormat="1" ht="15.75">
      <c r="A269" s="13"/>
    </row>
    <row r="270" s="4" customFormat="1" ht="15.75">
      <c r="A270" s="13"/>
    </row>
    <row r="271" s="4" customFormat="1" ht="15.75">
      <c r="A271" s="13"/>
    </row>
    <row r="272" s="4" customFormat="1" ht="15.75">
      <c r="A272" s="13"/>
    </row>
    <row r="273" s="4" customFormat="1" ht="15.75">
      <c r="A273" s="13"/>
    </row>
    <row r="274" s="4" customFormat="1" ht="15.75">
      <c r="A274" s="13"/>
    </row>
    <row r="275" s="4" customFormat="1" ht="15.75">
      <c r="A275" s="13"/>
    </row>
    <row r="276" s="4" customFormat="1" ht="15.75">
      <c r="A276" s="13"/>
    </row>
    <row r="277" s="4" customFormat="1" ht="15.75">
      <c r="A277" s="13"/>
    </row>
    <row r="278" s="4" customFormat="1" ht="15.75">
      <c r="A278" s="13"/>
    </row>
    <row r="279" s="4" customFormat="1" ht="15.75">
      <c r="A279" s="13"/>
    </row>
    <row r="280" s="4" customFormat="1" ht="15.75">
      <c r="A280" s="13"/>
    </row>
    <row r="281" s="4" customFormat="1" ht="15.75">
      <c r="A281" s="13"/>
    </row>
    <row r="282" s="4" customFormat="1" ht="15.75">
      <c r="A282" s="13"/>
    </row>
    <row r="283" s="4" customFormat="1" ht="15.75">
      <c r="A283" s="13"/>
    </row>
    <row r="284" s="4" customFormat="1" ht="15.75">
      <c r="A284" s="13"/>
    </row>
    <row r="285" s="4" customFormat="1" ht="15.75">
      <c r="A285" s="13"/>
    </row>
    <row r="286" s="4" customFormat="1" ht="15.75">
      <c r="A286" s="13"/>
    </row>
    <row r="287" s="4" customFormat="1" ht="15.75">
      <c r="A287" s="13"/>
    </row>
    <row r="288" s="4" customFormat="1" ht="15.75">
      <c r="A288" s="13"/>
    </row>
    <row r="289" s="4" customFormat="1" ht="15.75">
      <c r="A289" s="13"/>
    </row>
    <row r="290" s="4" customFormat="1" ht="15.75">
      <c r="A290" s="13"/>
    </row>
    <row r="291" s="4" customFormat="1" ht="15.75">
      <c r="A291" s="13"/>
    </row>
    <row r="292" s="4" customFormat="1" ht="15.75">
      <c r="A292" s="13"/>
    </row>
    <row r="293" s="4" customFormat="1" ht="15.75">
      <c r="A293" s="13"/>
    </row>
    <row r="294" s="4" customFormat="1" ht="15.75">
      <c r="A294" s="13"/>
    </row>
    <row r="295" s="4" customFormat="1" ht="15.75">
      <c r="A295" s="13"/>
    </row>
    <row r="296" s="4" customFormat="1" ht="15.75">
      <c r="A296" s="13"/>
    </row>
    <row r="297" s="4" customFormat="1" ht="15.75">
      <c r="A297" s="13"/>
    </row>
    <row r="298" s="4" customFormat="1" ht="15.75">
      <c r="A298" s="13"/>
    </row>
    <row r="299" s="4" customFormat="1" ht="15.75">
      <c r="A299" s="13"/>
    </row>
    <row r="300" s="4" customFormat="1" ht="15.75">
      <c r="A300" s="13"/>
    </row>
    <row r="301" s="4" customFormat="1" ht="15.75">
      <c r="A301" s="13"/>
    </row>
    <row r="302" s="4" customFormat="1" ht="15.75">
      <c r="A302" s="13"/>
    </row>
    <row r="303" s="4" customFormat="1" ht="15.75">
      <c r="A303" s="13"/>
    </row>
    <row r="304" s="4" customFormat="1" ht="15.75">
      <c r="A304" s="13"/>
    </row>
    <row r="305" s="4" customFormat="1" ht="15.75">
      <c r="A305" s="13"/>
    </row>
    <row r="306" s="4" customFormat="1" ht="15.75">
      <c r="A306" s="13"/>
    </row>
    <row r="307" s="4" customFormat="1" ht="15.75">
      <c r="A307" s="13"/>
    </row>
    <row r="308" s="4" customFormat="1" ht="15.75">
      <c r="A308" s="13"/>
    </row>
    <row r="309" s="4" customFormat="1" ht="15.75">
      <c r="A309" s="13"/>
    </row>
    <row r="310" s="4" customFormat="1" ht="15.75">
      <c r="A310" s="13"/>
    </row>
    <row r="311" s="4" customFormat="1" ht="15.75">
      <c r="A311" s="13"/>
    </row>
    <row r="312" s="4" customFormat="1" ht="15.75">
      <c r="A312" s="13"/>
    </row>
    <row r="313" s="4" customFormat="1" ht="15.75">
      <c r="A313" s="13"/>
    </row>
    <row r="314" s="4" customFormat="1" ht="15.75">
      <c r="A314" s="13"/>
    </row>
    <row r="315" s="4" customFormat="1" ht="15.75">
      <c r="A315" s="13"/>
    </row>
    <row r="316" s="4" customFormat="1" ht="15.75">
      <c r="A316" s="13"/>
    </row>
    <row r="317" s="4" customFormat="1" ht="15.75">
      <c r="A317" s="13"/>
    </row>
    <row r="318" s="4" customFormat="1" ht="15.75">
      <c r="A318" s="13"/>
    </row>
    <row r="319" s="4" customFormat="1" ht="15.75">
      <c r="A319" s="13"/>
    </row>
    <row r="320" s="4" customFormat="1" ht="15.75">
      <c r="A320" s="13"/>
    </row>
    <row r="321" s="4" customFormat="1" ht="15.75">
      <c r="A321" s="13"/>
    </row>
    <row r="322" s="4" customFormat="1" ht="15.75">
      <c r="A322" s="13"/>
    </row>
    <row r="323" s="4" customFormat="1" ht="15.75">
      <c r="A323" s="13"/>
    </row>
    <row r="324" s="4" customFormat="1" ht="15.75">
      <c r="A324" s="13"/>
    </row>
    <row r="325" s="4" customFormat="1" ht="15.75">
      <c r="A325" s="13"/>
    </row>
    <row r="326" s="4" customFormat="1" ht="15.75">
      <c r="A326" s="13"/>
    </row>
    <row r="327" s="4" customFormat="1" ht="15.75">
      <c r="A327" s="13"/>
    </row>
    <row r="328" s="4" customFormat="1" ht="15.75">
      <c r="A328" s="13"/>
    </row>
    <row r="329" s="4" customFormat="1" ht="15.75">
      <c r="A329" s="13"/>
    </row>
    <row r="330" s="4" customFormat="1" ht="15.75">
      <c r="A330" s="13"/>
    </row>
    <row r="331" s="4" customFormat="1" ht="15.75">
      <c r="A331" s="13"/>
    </row>
    <row r="332" s="4" customFormat="1" ht="15.75">
      <c r="A332" s="13"/>
    </row>
    <row r="333" s="4" customFormat="1" ht="15.75">
      <c r="A333" s="13"/>
    </row>
    <row r="334" s="4" customFormat="1" ht="15.75">
      <c r="A334" s="13"/>
    </row>
    <row r="335" s="4" customFormat="1" ht="15.75">
      <c r="A335" s="13"/>
    </row>
    <row r="336" s="4" customFormat="1" ht="15.75">
      <c r="A336" s="13"/>
    </row>
    <row r="337" s="4" customFormat="1" ht="15.75">
      <c r="A337" s="13"/>
    </row>
    <row r="338" s="4" customFormat="1" ht="15.75">
      <c r="A338" s="13"/>
    </row>
    <row r="339" s="4" customFormat="1" ht="15.75">
      <c r="A339" s="13"/>
    </row>
    <row r="340" s="4" customFormat="1" ht="15.75">
      <c r="A340" s="13"/>
    </row>
    <row r="341" s="4" customFormat="1" ht="15.75">
      <c r="A341" s="13"/>
    </row>
    <row r="342" s="4" customFormat="1" ht="15.75">
      <c r="A342" s="13"/>
    </row>
    <row r="343" s="4" customFormat="1" ht="15.75">
      <c r="A343" s="13"/>
    </row>
    <row r="344" s="4" customFormat="1" ht="15.75">
      <c r="A344" s="13"/>
    </row>
    <row r="345" s="4" customFormat="1" ht="15.75">
      <c r="A345" s="13"/>
    </row>
    <row r="346" s="4" customFormat="1" ht="15.75">
      <c r="A346" s="13"/>
    </row>
    <row r="347" s="4" customFormat="1" ht="15.75">
      <c r="A347" s="13"/>
    </row>
    <row r="348" s="4" customFormat="1" ht="15.75">
      <c r="A348" s="13"/>
    </row>
    <row r="349" s="4" customFormat="1" ht="15.75">
      <c r="A349" s="13"/>
    </row>
    <row r="350" s="4" customFormat="1" ht="15.75">
      <c r="A350" s="13"/>
    </row>
    <row r="351" s="4" customFormat="1" ht="15.75">
      <c r="A351" s="13"/>
    </row>
    <row r="352" s="4" customFormat="1" ht="15.75">
      <c r="A352" s="13"/>
    </row>
    <row r="353" s="4" customFormat="1" ht="15.75">
      <c r="A353" s="13"/>
    </row>
    <row r="354" s="4" customFormat="1" ht="15.75">
      <c r="A354" s="13"/>
    </row>
    <row r="355" s="4" customFormat="1" ht="15.75">
      <c r="A355" s="13"/>
    </row>
    <row r="356" s="4" customFormat="1" ht="15.75">
      <c r="A356" s="13"/>
    </row>
    <row r="357" s="4" customFormat="1" ht="15.75">
      <c r="A357" s="13"/>
    </row>
    <row r="358" s="4" customFormat="1" ht="15.75">
      <c r="A358" s="13"/>
    </row>
    <row r="359" s="4" customFormat="1" ht="15.75">
      <c r="A359" s="13"/>
    </row>
    <row r="360" s="4" customFormat="1" ht="15.75">
      <c r="A360" s="13"/>
    </row>
    <row r="361" s="4" customFormat="1" ht="15.75">
      <c r="A361" s="13"/>
    </row>
    <row r="362" s="4" customFormat="1" ht="15.75">
      <c r="A362" s="13"/>
    </row>
    <row r="363" s="4" customFormat="1" ht="15.75">
      <c r="A363" s="13"/>
    </row>
    <row r="364" s="4" customFormat="1" ht="15.75">
      <c r="A364" s="13"/>
    </row>
    <row r="365" s="4" customFormat="1" ht="15.75">
      <c r="A365" s="13"/>
    </row>
    <row r="366" s="4" customFormat="1" ht="15.75">
      <c r="A366" s="13"/>
    </row>
    <row r="367" s="4" customFormat="1" ht="15.75">
      <c r="A367" s="13"/>
    </row>
    <row r="368" s="4" customFormat="1" ht="15.75">
      <c r="A368" s="13"/>
    </row>
    <row r="369" s="4" customFormat="1" ht="15.75">
      <c r="A369" s="13"/>
    </row>
    <row r="370" s="4" customFormat="1" ht="15.75">
      <c r="A370" s="13"/>
    </row>
    <row r="371" s="4" customFormat="1" ht="15.75">
      <c r="A371" s="13"/>
    </row>
    <row r="372" s="4" customFormat="1" ht="15.75">
      <c r="A372" s="13"/>
    </row>
    <row r="373" s="4" customFormat="1" ht="15.75">
      <c r="A373" s="13"/>
    </row>
    <row r="374" s="4" customFormat="1" ht="15.75">
      <c r="A374" s="13"/>
    </row>
    <row r="375" s="4" customFormat="1" ht="15.75">
      <c r="A375" s="13"/>
    </row>
    <row r="376" s="4" customFormat="1" ht="15.75">
      <c r="A376" s="13"/>
    </row>
    <row r="377" s="4" customFormat="1" ht="15.75">
      <c r="A377" s="13"/>
    </row>
    <row r="378" s="4" customFormat="1" ht="15.75">
      <c r="A378" s="13"/>
    </row>
    <row r="379" s="4" customFormat="1" ht="15.75">
      <c r="A379" s="13"/>
    </row>
    <row r="380" s="4" customFormat="1" ht="15.75">
      <c r="A380" s="13"/>
    </row>
    <row r="381" s="4" customFormat="1" ht="15.75">
      <c r="A381" s="13"/>
    </row>
    <row r="382" s="4" customFormat="1" ht="15.75">
      <c r="A382" s="13"/>
    </row>
    <row r="383" s="4" customFormat="1" ht="15.75">
      <c r="A383" s="13"/>
    </row>
    <row r="384" s="4" customFormat="1" ht="15.75">
      <c r="A384" s="13"/>
    </row>
    <row r="385" s="4" customFormat="1" ht="15.75">
      <c r="A385" s="13"/>
    </row>
    <row r="386" s="4" customFormat="1" ht="15.75">
      <c r="A386" s="13"/>
    </row>
    <row r="387" s="4" customFormat="1" ht="15.75">
      <c r="A387" s="13"/>
    </row>
    <row r="388" s="4" customFormat="1" ht="15.75">
      <c r="A388" s="13"/>
    </row>
    <row r="389" s="4" customFormat="1" ht="15.75">
      <c r="A389" s="13"/>
    </row>
    <row r="390" s="4" customFormat="1" ht="15.75">
      <c r="A390" s="13"/>
    </row>
    <row r="391" s="4" customFormat="1" ht="15.75">
      <c r="A391" s="13"/>
    </row>
    <row r="392" s="4" customFormat="1" ht="15.75">
      <c r="A392" s="13"/>
    </row>
    <row r="393" s="4" customFormat="1" ht="15.75">
      <c r="A393" s="13"/>
    </row>
    <row r="394" s="4" customFormat="1" ht="15.75">
      <c r="A394" s="13"/>
    </row>
    <row r="395" s="4" customFormat="1" ht="15.75">
      <c r="A395" s="13"/>
    </row>
    <row r="396" s="4" customFormat="1" ht="15.75">
      <c r="A396" s="13"/>
    </row>
    <row r="397" s="4" customFormat="1" ht="15.75">
      <c r="A397" s="13"/>
    </row>
    <row r="398" s="4" customFormat="1" ht="15.75">
      <c r="A398" s="13"/>
    </row>
    <row r="399" s="4" customFormat="1" ht="15.75">
      <c r="A399" s="13"/>
    </row>
    <row r="400" s="4" customFormat="1" ht="15.75">
      <c r="A400" s="13"/>
    </row>
    <row r="401" s="4" customFormat="1" ht="15.75">
      <c r="A401" s="13"/>
    </row>
    <row r="402" s="4" customFormat="1" ht="15.75">
      <c r="A402" s="13"/>
    </row>
    <row r="403" s="4" customFormat="1" ht="15.75">
      <c r="A403" s="13"/>
    </row>
    <row r="404" s="4" customFormat="1" ht="15.75">
      <c r="A404" s="13"/>
    </row>
    <row r="405" s="4" customFormat="1" ht="15.75">
      <c r="A405" s="13"/>
    </row>
    <row r="406" s="4" customFormat="1" ht="15.75">
      <c r="A406" s="13"/>
    </row>
    <row r="407" s="4" customFormat="1" ht="15.75">
      <c r="A407" s="13"/>
    </row>
    <row r="408" s="4" customFormat="1" ht="15.75">
      <c r="A408" s="13"/>
    </row>
    <row r="409" s="4" customFormat="1" ht="15.75">
      <c r="A409" s="13"/>
    </row>
    <row r="410" s="4" customFormat="1" ht="15.75">
      <c r="A410" s="13"/>
    </row>
    <row r="411" s="4" customFormat="1" ht="15.75">
      <c r="A411" s="13"/>
    </row>
    <row r="412" s="4" customFormat="1" ht="15.75">
      <c r="A412" s="13"/>
    </row>
    <row r="413" s="4" customFormat="1" ht="15.75">
      <c r="A413" s="13"/>
    </row>
    <row r="414" s="4" customFormat="1" ht="15.75">
      <c r="A414" s="13"/>
    </row>
    <row r="415" s="4" customFormat="1" ht="15.75">
      <c r="A415" s="13"/>
    </row>
    <row r="416" s="4" customFormat="1" ht="15.75">
      <c r="A416" s="13"/>
    </row>
    <row r="417" s="4" customFormat="1" ht="15.75">
      <c r="A417" s="13"/>
    </row>
    <row r="418" s="4" customFormat="1" ht="15.75">
      <c r="A418" s="13"/>
    </row>
    <row r="419" s="4" customFormat="1" ht="15.75">
      <c r="A419" s="13"/>
    </row>
    <row r="420" s="4" customFormat="1" ht="15.75">
      <c r="A420" s="13"/>
    </row>
    <row r="421" s="4" customFormat="1" ht="15.75">
      <c r="A421" s="13"/>
    </row>
    <row r="422" s="4" customFormat="1" ht="15.75">
      <c r="A422" s="13"/>
    </row>
    <row r="423" s="4" customFormat="1" ht="15.75">
      <c r="A423" s="13"/>
    </row>
    <row r="424" s="4" customFormat="1" ht="15.75">
      <c r="A424" s="13"/>
    </row>
    <row r="425" s="4" customFormat="1" ht="15.75">
      <c r="A425" s="13"/>
    </row>
    <row r="426" s="4" customFormat="1" ht="15.75">
      <c r="A426" s="13"/>
    </row>
    <row r="427" s="4" customFormat="1" ht="15.75">
      <c r="A427" s="13"/>
    </row>
    <row r="428" s="4" customFormat="1" ht="15.75">
      <c r="A428" s="13"/>
    </row>
    <row r="429" s="4" customFormat="1" ht="15.75">
      <c r="A429" s="13"/>
    </row>
    <row r="430" s="4" customFormat="1" ht="15.75">
      <c r="A430" s="13"/>
    </row>
    <row r="431" s="4" customFormat="1" ht="15.75">
      <c r="A431" s="13"/>
    </row>
    <row r="432" s="4" customFormat="1" ht="15.75">
      <c r="A432" s="13"/>
    </row>
    <row r="433" s="4" customFormat="1" ht="15.75">
      <c r="A433" s="13"/>
    </row>
    <row r="434" s="4" customFormat="1" ht="15.75">
      <c r="A434" s="13"/>
    </row>
    <row r="435" s="4" customFormat="1" ht="15.75">
      <c r="A435" s="13"/>
    </row>
    <row r="436" s="4" customFormat="1" ht="15.75">
      <c r="A436" s="13"/>
    </row>
    <row r="437" s="4" customFormat="1" ht="15.75">
      <c r="A437" s="13"/>
    </row>
    <row r="438" s="4" customFormat="1" ht="15.75">
      <c r="A438" s="13"/>
    </row>
    <row r="439" s="4" customFormat="1" ht="15.75">
      <c r="A439" s="13"/>
    </row>
    <row r="440" s="4" customFormat="1" ht="15.75">
      <c r="A440" s="13"/>
    </row>
    <row r="441" s="4" customFormat="1" ht="15.75">
      <c r="A441" s="13"/>
    </row>
    <row r="442" s="4" customFormat="1" ht="15.75">
      <c r="A442" s="13"/>
    </row>
    <row r="443" s="4" customFormat="1" ht="15.75">
      <c r="A443" s="13"/>
    </row>
    <row r="444" s="4" customFormat="1" ht="15.75">
      <c r="A444" s="13"/>
    </row>
    <row r="445" s="4" customFormat="1" ht="15.75">
      <c r="A445" s="13"/>
    </row>
    <row r="446" s="4" customFormat="1" ht="15.75">
      <c r="A446" s="13"/>
    </row>
    <row r="447" s="4" customFormat="1" ht="15.75">
      <c r="A447" s="13"/>
    </row>
    <row r="448" s="4" customFormat="1" ht="15.75">
      <c r="A448" s="13"/>
    </row>
    <row r="449" s="4" customFormat="1" ht="15.75">
      <c r="A449" s="13"/>
    </row>
    <row r="450" s="4" customFormat="1" ht="15.75">
      <c r="A450" s="13"/>
    </row>
    <row r="451" s="4" customFormat="1" ht="15.75">
      <c r="A451" s="13"/>
    </row>
    <row r="452" s="4" customFormat="1" ht="15.75">
      <c r="A452" s="13"/>
    </row>
    <row r="453" s="4" customFormat="1" ht="15.75">
      <c r="A453" s="13"/>
    </row>
    <row r="454" s="4" customFormat="1" ht="15.75">
      <c r="A454" s="13"/>
    </row>
    <row r="455" s="4" customFormat="1" ht="15.75">
      <c r="A455" s="13"/>
    </row>
    <row r="456" s="4" customFormat="1" ht="15.75">
      <c r="A456" s="13"/>
    </row>
    <row r="457" s="4" customFormat="1" ht="15.75">
      <c r="A457" s="13"/>
    </row>
    <row r="458" s="4" customFormat="1" ht="15.75">
      <c r="A458" s="13"/>
    </row>
    <row r="459" s="4" customFormat="1" ht="15.75">
      <c r="A459" s="13"/>
    </row>
    <row r="460" s="4" customFormat="1" ht="15.75">
      <c r="A460" s="13"/>
    </row>
    <row r="461" s="4" customFormat="1" ht="15.75">
      <c r="A461" s="13"/>
    </row>
    <row r="462" s="4" customFormat="1" ht="15.75">
      <c r="A462" s="13"/>
    </row>
    <row r="463" s="4" customFormat="1" ht="15.75">
      <c r="A463" s="13"/>
    </row>
    <row r="464" s="4" customFormat="1" ht="15.75">
      <c r="A464" s="13"/>
    </row>
    <row r="465" s="4" customFormat="1" ht="15.75">
      <c r="A465" s="13"/>
    </row>
    <row r="466" s="4" customFormat="1" ht="15.75">
      <c r="A466" s="13"/>
    </row>
    <row r="467" s="4" customFormat="1" ht="15.75">
      <c r="A467" s="13"/>
    </row>
    <row r="468" s="4" customFormat="1" ht="15.75">
      <c r="A468" s="13"/>
    </row>
    <row r="469" s="4" customFormat="1" ht="15.75">
      <c r="A469" s="13"/>
    </row>
    <row r="470" s="4" customFormat="1" ht="15.75">
      <c r="A470" s="13"/>
    </row>
    <row r="471" s="4" customFormat="1" ht="15.75">
      <c r="A471" s="13"/>
    </row>
    <row r="472" s="4" customFormat="1" ht="15.75">
      <c r="A472" s="13"/>
    </row>
    <row r="473" s="4" customFormat="1" ht="15.75">
      <c r="A473" s="13"/>
    </row>
    <row r="474" s="4" customFormat="1" ht="15.75">
      <c r="A474" s="13"/>
    </row>
    <row r="475" s="4" customFormat="1" ht="15.75">
      <c r="A475" s="13"/>
    </row>
    <row r="476" s="4" customFormat="1" ht="15.75">
      <c r="A476" s="13"/>
    </row>
    <row r="477" s="4" customFormat="1" ht="15.75">
      <c r="A477" s="13"/>
    </row>
    <row r="478" s="4" customFormat="1" ht="15.75">
      <c r="A478" s="13"/>
    </row>
    <row r="479" s="4" customFormat="1" ht="15.75">
      <c r="A479" s="13"/>
    </row>
    <row r="480" s="4" customFormat="1" ht="15.75">
      <c r="A480" s="13"/>
    </row>
    <row r="481" s="4" customFormat="1" ht="15.75">
      <c r="A481" s="13"/>
    </row>
    <row r="482" s="4" customFormat="1" ht="15.75">
      <c r="A482" s="13"/>
    </row>
    <row r="483" s="4" customFormat="1" ht="15.75">
      <c r="A483" s="13"/>
    </row>
    <row r="484" s="4" customFormat="1" ht="15.75">
      <c r="A484" s="13"/>
    </row>
    <row r="485" s="4" customFormat="1" ht="15.75">
      <c r="A485" s="13"/>
    </row>
    <row r="486" s="4" customFormat="1" ht="15.75">
      <c r="A486" s="13"/>
    </row>
    <row r="487" s="4" customFormat="1" ht="15.75">
      <c r="A487" s="13"/>
    </row>
    <row r="488" s="4" customFormat="1" ht="15.75">
      <c r="A488" s="13"/>
    </row>
    <row r="489" s="4" customFormat="1" ht="15.75">
      <c r="A489" s="13"/>
    </row>
    <row r="490" s="4" customFormat="1" ht="15.75">
      <c r="A490" s="13"/>
    </row>
    <row r="491" s="4" customFormat="1" ht="15.75">
      <c r="A491" s="13"/>
    </row>
    <row r="492" s="4" customFormat="1" ht="15.75">
      <c r="A492" s="13"/>
    </row>
    <row r="493" s="4" customFormat="1" ht="15.75">
      <c r="A493" s="13"/>
    </row>
    <row r="494" s="4" customFormat="1" ht="15.75">
      <c r="A494" s="13"/>
    </row>
    <row r="495" s="4" customFormat="1" ht="15.75">
      <c r="A495" s="13"/>
    </row>
    <row r="496" s="4" customFormat="1" ht="15.75">
      <c r="A496" s="13"/>
    </row>
    <row r="497" s="4" customFormat="1" ht="15.75">
      <c r="A497" s="13"/>
    </row>
    <row r="498" s="4" customFormat="1" ht="15.75">
      <c r="A498" s="13"/>
    </row>
    <row r="499" s="4" customFormat="1" ht="15.75">
      <c r="A499" s="13"/>
    </row>
    <row r="500" s="4" customFormat="1" ht="15.75">
      <c r="A500" s="13"/>
    </row>
    <row r="501" s="4" customFormat="1" ht="15.75">
      <c r="A501" s="13"/>
    </row>
    <row r="502" s="4" customFormat="1" ht="15.75">
      <c r="A502" s="13"/>
    </row>
    <row r="503" s="4" customFormat="1" ht="15.75">
      <c r="A503" s="13"/>
    </row>
    <row r="504" s="4" customFormat="1" ht="15.75">
      <c r="A504" s="13"/>
    </row>
    <row r="505" s="4" customFormat="1" ht="15.75">
      <c r="A505" s="13"/>
    </row>
    <row r="506" s="4" customFormat="1" ht="15.75">
      <c r="A506" s="13"/>
    </row>
    <row r="507" s="4" customFormat="1" ht="15.75">
      <c r="A507" s="13"/>
    </row>
    <row r="508" s="4" customFormat="1" ht="15.75">
      <c r="A508" s="13"/>
    </row>
    <row r="509" s="4" customFormat="1" ht="15.75">
      <c r="A509" s="13"/>
    </row>
    <row r="510" s="4" customFormat="1" ht="15.75">
      <c r="A510" s="13"/>
    </row>
    <row r="511" s="4" customFormat="1" ht="15.75">
      <c r="A511" s="13"/>
    </row>
    <row r="512" s="4" customFormat="1" ht="15.75">
      <c r="A512" s="13"/>
    </row>
    <row r="513" s="4" customFormat="1" ht="15.75">
      <c r="A513" s="13"/>
    </row>
    <row r="514" s="4" customFormat="1" ht="15.75">
      <c r="A514" s="13"/>
    </row>
    <row r="515" s="4" customFormat="1" ht="15.75">
      <c r="A515" s="13"/>
    </row>
    <row r="516" s="4" customFormat="1" ht="15.75">
      <c r="A516" s="13"/>
    </row>
    <row r="517" s="4" customFormat="1" ht="15.75">
      <c r="A517" s="13"/>
    </row>
    <row r="518" s="4" customFormat="1" ht="15.75">
      <c r="A518" s="13"/>
    </row>
    <row r="519" s="4" customFormat="1" ht="15.75">
      <c r="A519" s="13"/>
    </row>
    <row r="520" s="4" customFormat="1" ht="15.75">
      <c r="A520" s="13"/>
    </row>
    <row r="521" s="4" customFormat="1" ht="15.75">
      <c r="A521" s="13"/>
    </row>
    <row r="522" s="4" customFormat="1" ht="15.75">
      <c r="A522" s="13"/>
    </row>
    <row r="523" s="4" customFormat="1" ht="15.75">
      <c r="A523" s="13"/>
    </row>
    <row r="524" s="4" customFormat="1" ht="15.75">
      <c r="A524" s="13"/>
    </row>
    <row r="525" s="4" customFormat="1" ht="15.75">
      <c r="A525" s="13"/>
    </row>
    <row r="526" s="4" customFormat="1" ht="15.75">
      <c r="A526" s="13"/>
    </row>
    <row r="527" s="4" customFormat="1" ht="15.75">
      <c r="A527" s="13"/>
    </row>
    <row r="528" s="4" customFormat="1" ht="15.75">
      <c r="A528" s="13"/>
    </row>
    <row r="529" s="4" customFormat="1" ht="15.75">
      <c r="A529" s="13"/>
    </row>
    <row r="530" s="4" customFormat="1" ht="15.75">
      <c r="A530" s="13"/>
    </row>
    <row r="531" s="4" customFormat="1" ht="15.75">
      <c r="A531" s="13"/>
    </row>
    <row r="532" s="4" customFormat="1" ht="15.75">
      <c r="A532" s="13"/>
    </row>
    <row r="533" s="4" customFormat="1" ht="15.75">
      <c r="A533" s="13"/>
    </row>
    <row r="534" s="4" customFormat="1" ht="15.75">
      <c r="A534" s="13"/>
    </row>
    <row r="535" s="4" customFormat="1" ht="15.75">
      <c r="A535" s="13"/>
    </row>
    <row r="536" s="4" customFormat="1" ht="15.75">
      <c r="A536" s="13"/>
    </row>
    <row r="537" s="4" customFormat="1" ht="15.75">
      <c r="A537" s="13"/>
    </row>
    <row r="538" s="4" customFormat="1" ht="15.75">
      <c r="A538" s="13"/>
    </row>
    <row r="539" s="4" customFormat="1" ht="15.75">
      <c r="A539" s="13"/>
    </row>
    <row r="540" s="4" customFormat="1" ht="15.75">
      <c r="A540" s="13"/>
    </row>
    <row r="541" s="4" customFormat="1" ht="15.75">
      <c r="A541" s="13"/>
    </row>
    <row r="542" s="4" customFormat="1" ht="15.75">
      <c r="A542" s="13"/>
    </row>
    <row r="543" s="4" customFormat="1" ht="15.75">
      <c r="A543" s="13"/>
    </row>
    <row r="544" s="4" customFormat="1" ht="15.75">
      <c r="A544" s="13"/>
    </row>
    <row r="545" s="4" customFormat="1" ht="15.75">
      <c r="A545" s="13"/>
    </row>
    <row r="546" s="4" customFormat="1" ht="15.75">
      <c r="A546" s="13"/>
    </row>
    <row r="547" s="4" customFormat="1" ht="15.75">
      <c r="A547" s="13"/>
    </row>
    <row r="548" s="4" customFormat="1" ht="15.75">
      <c r="A548" s="13"/>
    </row>
    <row r="549" s="4" customFormat="1" ht="15.75">
      <c r="A549" s="13"/>
    </row>
    <row r="550" s="4" customFormat="1" ht="15.75">
      <c r="A550" s="13"/>
    </row>
    <row r="551" s="4" customFormat="1" ht="15.75">
      <c r="A551" s="13"/>
    </row>
    <row r="552" s="4" customFormat="1" ht="15.75">
      <c r="A552" s="13"/>
    </row>
    <row r="553" s="4" customFormat="1" ht="15.75">
      <c r="A553" s="13"/>
    </row>
    <row r="554" s="4" customFormat="1" ht="15.75">
      <c r="A554" s="13"/>
    </row>
    <row r="555" s="4" customFormat="1" ht="15.75">
      <c r="A555" s="13"/>
    </row>
    <row r="556" s="4" customFormat="1" ht="15.75">
      <c r="A556" s="13"/>
    </row>
    <row r="557" s="4" customFormat="1" ht="15.75">
      <c r="A557" s="13"/>
    </row>
    <row r="558" s="4" customFormat="1" ht="15.75">
      <c r="A558" s="13"/>
    </row>
    <row r="559" s="4" customFormat="1" ht="15.75">
      <c r="A559" s="13"/>
    </row>
    <row r="560" s="4" customFormat="1" ht="15.75">
      <c r="A560" s="13"/>
    </row>
    <row r="561" s="4" customFormat="1" ht="15.75">
      <c r="A561" s="13"/>
    </row>
    <row r="562" s="4" customFormat="1" ht="15.75">
      <c r="A562" s="13"/>
    </row>
    <row r="563" s="4" customFormat="1" ht="15.75">
      <c r="A563" s="13"/>
    </row>
    <row r="564" s="4" customFormat="1" ht="15.75">
      <c r="A564" s="13"/>
    </row>
    <row r="565" s="4" customFormat="1" ht="15.75">
      <c r="A565" s="13"/>
    </row>
    <row r="566" s="4" customFormat="1" ht="15.75">
      <c r="A566" s="13"/>
    </row>
    <row r="567" s="4" customFormat="1" ht="15.75">
      <c r="A567" s="13"/>
    </row>
    <row r="568" s="4" customFormat="1" ht="15.75">
      <c r="A568" s="13"/>
    </row>
    <row r="569" s="4" customFormat="1" ht="15.75">
      <c r="A569" s="13"/>
    </row>
    <row r="570" s="4" customFormat="1" ht="15.75">
      <c r="A570" s="13"/>
    </row>
    <row r="571" s="4" customFormat="1" ht="15.75">
      <c r="A571" s="13"/>
    </row>
    <row r="572" s="4" customFormat="1" ht="15.75">
      <c r="A572" s="13"/>
    </row>
    <row r="573" s="4" customFormat="1" ht="15.75">
      <c r="A573" s="13"/>
    </row>
    <row r="574" s="4" customFormat="1" ht="15.75">
      <c r="A574" s="13"/>
    </row>
    <row r="575" s="4" customFormat="1" ht="15.75">
      <c r="A575" s="13"/>
    </row>
    <row r="576" s="4" customFormat="1" ht="15.75">
      <c r="A576" s="13"/>
    </row>
    <row r="577" s="4" customFormat="1" ht="15.75">
      <c r="A577" s="13"/>
    </row>
    <row r="578" s="4" customFormat="1" ht="15.75">
      <c r="A578" s="13"/>
    </row>
    <row r="579" s="4" customFormat="1" ht="15.75">
      <c r="A579" s="13"/>
    </row>
    <row r="580" s="4" customFormat="1" ht="15.75">
      <c r="A580" s="13"/>
    </row>
    <row r="581" s="4" customFormat="1" ht="15.75">
      <c r="A581" s="13"/>
    </row>
    <row r="582" s="4" customFormat="1" ht="15.75">
      <c r="A582" s="13"/>
    </row>
    <row r="583" s="4" customFormat="1" ht="15.75">
      <c r="A583" s="13"/>
    </row>
    <row r="584" s="4" customFormat="1" ht="15.75">
      <c r="A584" s="13"/>
    </row>
    <row r="585" s="4" customFormat="1" ht="15.75">
      <c r="A585" s="13"/>
    </row>
    <row r="586" s="4" customFormat="1" ht="15.75">
      <c r="A586" s="13"/>
    </row>
    <row r="587" s="4" customFormat="1" ht="15.75">
      <c r="A587" s="13"/>
    </row>
    <row r="588" s="4" customFormat="1" ht="15.75">
      <c r="A588" s="13"/>
    </row>
    <row r="589" s="4" customFormat="1" ht="15.75">
      <c r="A589" s="13"/>
    </row>
    <row r="590" s="4" customFormat="1" ht="15.75">
      <c r="A590" s="13"/>
    </row>
    <row r="591" s="4" customFormat="1" ht="15.75">
      <c r="A591" s="13"/>
    </row>
    <row r="592" s="4" customFormat="1" ht="15.75">
      <c r="A592" s="13"/>
    </row>
    <row r="593" s="4" customFormat="1" ht="15.75">
      <c r="A593" s="13"/>
    </row>
    <row r="594" s="4" customFormat="1" ht="15.75">
      <c r="A594" s="13"/>
    </row>
    <row r="595" s="4" customFormat="1" ht="15.75">
      <c r="A595" s="13"/>
    </row>
    <row r="596" s="4" customFormat="1" ht="15.75">
      <c r="A596" s="13"/>
    </row>
    <row r="597" s="4" customFormat="1" ht="15.75">
      <c r="A597" s="13"/>
    </row>
    <row r="598" s="4" customFormat="1" ht="15.75">
      <c r="A598" s="13"/>
    </row>
    <row r="599" s="4" customFormat="1" ht="15.75">
      <c r="A599" s="13"/>
    </row>
    <row r="600" s="4" customFormat="1" ht="15.75">
      <c r="A600" s="13"/>
    </row>
    <row r="601" s="4" customFormat="1" ht="15.75">
      <c r="A601" s="13"/>
    </row>
    <row r="602" s="4" customFormat="1" ht="15.75">
      <c r="A602" s="13"/>
    </row>
    <row r="603" s="4" customFormat="1" ht="15.75">
      <c r="A603" s="13"/>
    </row>
    <row r="604" s="4" customFormat="1" ht="15.75">
      <c r="A604" s="13"/>
    </row>
    <row r="605" s="4" customFormat="1" ht="15.75">
      <c r="A605" s="13"/>
    </row>
    <row r="606" s="4" customFormat="1" ht="15.75">
      <c r="A606" s="13"/>
    </row>
    <row r="607" s="4" customFormat="1" ht="15.75">
      <c r="A607" s="13"/>
    </row>
    <row r="608" s="4" customFormat="1" ht="15.75">
      <c r="A608" s="13"/>
    </row>
    <row r="609" s="4" customFormat="1" ht="15.75">
      <c r="A609" s="13"/>
    </row>
    <row r="610" s="4" customFormat="1" ht="15.75">
      <c r="A610" s="13"/>
    </row>
    <row r="611" s="4" customFormat="1" ht="15.75">
      <c r="A611" s="13"/>
    </row>
    <row r="612" s="4" customFormat="1" ht="15.75">
      <c r="A612" s="13"/>
    </row>
    <row r="613" s="4" customFormat="1" ht="15.75">
      <c r="A613" s="13"/>
    </row>
    <row r="614" s="4" customFormat="1" ht="15.75">
      <c r="A614" s="13"/>
    </row>
    <row r="615" s="4" customFormat="1" ht="15.75">
      <c r="A615" s="13"/>
    </row>
    <row r="616" s="4" customFormat="1" ht="15.75">
      <c r="A616" s="13"/>
    </row>
    <row r="617" s="4" customFormat="1" ht="15.75">
      <c r="A617" s="13"/>
    </row>
    <row r="618" s="4" customFormat="1" ht="15.75">
      <c r="A618" s="13"/>
    </row>
    <row r="619" s="4" customFormat="1" ht="15.75">
      <c r="A619" s="13"/>
    </row>
    <row r="620" s="4" customFormat="1" ht="15.75">
      <c r="A620" s="13"/>
    </row>
    <row r="621" s="4" customFormat="1" ht="15.75">
      <c r="A621" s="13"/>
    </row>
    <row r="622" s="4" customFormat="1" ht="15.75">
      <c r="A622" s="13"/>
    </row>
    <row r="623" s="4" customFormat="1" ht="15.75">
      <c r="A623" s="13"/>
    </row>
    <row r="624" s="4" customFormat="1" ht="15.75">
      <c r="A624" s="13"/>
    </row>
    <row r="625" s="4" customFormat="1" ht="15.75">
      <c r="A625" s="13"/>
    </row>
    <row r="626" s="4" customFormat="1" ht="15.75">
      <c r="A626" s="13"/>
    </row>
    <row r="627" s="4" customFormat="1" ht="15.75">
      <c r="A627" s="13"/>
    </row>
    <row r="628" s="4" customFormat="1" ht="15.75">
      <c r="A628" s="13"/>
    </row>
    <row r="629" s="4" customFormat="1" ht="15.75">
      <c r="A629" s="13"/>
    </row>
    <row r="630" s="4" customFormat="1" ht="15.75">
      <c r="A630" s="13"/>
    </row>
    <row r="631" s="4" customFormat="1" ht="15.75">
      <c r="A631" s="13"/>
    </row>
    <row r="632" s="4" customFormat="1" ht="15.75">
      <c r="A632" s="13"/>
    </row>
    <row r="633" s="4" customFormat="1" ht="15.75">
      <c r="A633" s="13"/>
    </row>
    <row r="634" s="4" customFormat="1" ht="15.75">
      <c r="A634" s="13"/>
    </row>
    <row r="635" s="4" customFormat="1" ht="15.75">
      <c r="A635" s="13"/>
    </row>
    <row r="636" s="4" customFormat="1" ht="15.75">
      <c r="A636" s="13"/>
    </row>
    <row r="637" s="4" customFormat="1" ht="15.75">
      <c r="A637" s="13"/>
    </row>
    <row r="638" s="4" customFormat="1" ht="15.75">
      <c r="A638" s="13"/>
    </row>
    <row r="639" s="4" customFormat="1" ht="15.75">
      <c r="A639" s="13"/>
    </row>
    <row r="640" s="4" customFormat="1" ht="15.75">
      <c r="A640" s="13"/>
    </row>
    <row r="641" s="4" customFormat="1" ht="15.75">
      <c r="A641" s="13"/>
    </row>
    <row r="642" s="4" customFormat="1" ht="15.75">
      <c r="A642" s="13"/>
    </row>
    <row r="643" s="4" customFormat="1" ht="15.75">
      <c r="A643" s="13"/>
    </row>
    <row r="644" s="4" customFormat="1" ht="15.75">
      <c r="A644" s="13"/>
    </row>
    <row r="645" s="4" customFormat="1" ht="15.75">
      <c r="A645" s="13"/>
    </row>
    <row r="646" s="4" customFormat="1" ht="15.75">
      <c r="A646" s="13"/>
    </row>
    <row r="647" s="4" customFormat="1" ht="15.75">
      <c r="A647" s="13"/>
    </row>
    <row r="648" s="4" customFormat="1" ht="15.75">
      <c r="A648" s="13"/>
    </row>
    <row r="649" s="4" customFormat="1" ht="15.75">
      <c r="A649" s="13"/>
    </row>
    <row r="650" s="4" customFormat="1" ht="15.75">
      <c r="A650" s="13"/>
    </row>
    <row r="651" s="4" customFormat="1" ht="15.75">
      <c r="A651" s="13"/>
    </row>
    <row r="652" s="4" customFormat="1" ht="15.75">
      <c r="A652" s="13"/>
    </row>
    <row r="653" s="4" customFormat="1" ht="15.75">
      <c r="A653" s="13"/>
    </row>
    <row r="654" s="4" customFormat="1" ht="15.75">
      <c r="A654" s="13"/>
    </row>
    <row r="655" s="4" customFormat="1" ht="15.75">
      <c r="A655" s="13"/>
    </row>
    <row r="656" s="4" customFormat="1" ht="15.75">
      <c r="A656" s="13"/>
    </row>
    <row r="657" s="4" customFormat="1" ht="15.75">
      <c r="A657" s="13"/>
    </row>
    <row r="658" s="4" customFormat="1" ht="15.75">
      <c r="A658" s="13"/>
    </row>
    <row r="659" s="4" customFormat="1" ht="15.75">
      <c r="A659" s="13"/>
    </row>
    <row r="660" s="4" customFormat="1" ht="15.75">
      <c r="A660" s="13"/>
    </row>
    <row r="661" s="4" customFormat="1" ht="15.75">
      <c r="A661" s="13"/>
    </row>
    <row r="662" s="4" customFormat="1" ht="15.75">
      <c r="A662" s="13"/>
    </row>
    <row r="663" s="4" customFormat="1" ht="15.75">
      <c r="A663" s="13"/>
    </row>
    <row r="664" s="4" customFormat="1" ht="15.75">
      <c r="A664" s="13"/>
    </row>
    <row r="665" s="4" customFormat="1" ht="15.75">
      <c r="A665" s="13"/>
    </row>
    <row r="666" s="4" customFormat="1" ht="15.75">
      <c r="A666" s="13"/>
    </row>
    <row r="667" s="4" customFormat="1" ht="15.75">
      <c r="A667" s="13"/>
    </row>
    <row r="668" s="4" customFormat="1" ht="15.75">
      <c r="A668" s="13"/>
    </row>
    <row r="669" s="4" customFormat="1" ht="15.75">
      <c r="A669" s="13"/>
    </row>
    <row r="670" s="4" customFormat="1" ht="15.75">
      <c r="A670" s="13"/>
    </row>
    <row r="671" s="4" customFormat="1" ht="15.75">
      <c r="A671" s="13"/>
    </row>
    <row r="672" s="4" customFormat="1" ht="15.75">
      <c r="A672" s="13"/>
    </row>
    <row r="673" s="4" customFormat="1" ht="15.75">
      <c r="A673" s="13"/>
    </row>
    <row r="674" s="4" customFormat="1" ht="15.75">
      <c r="A674" s="13"/>
    </row>
    <row r="675" s="4" customFormat="1" ht="15.75">
      <c r="A675" s="13"/>
    </row>
    <row r="676" s="4" customFormat="1" ht="15.75">
      <c r="A676" s="13"/>
    </row>
    <row r="677" s="4" customFormat="1" ht="15.75">
      <c r="A677" s="13"/>
    </row>
    <row r="678" s="4" customFormat="1" ht="15.75">
      <c r="A678" s="13"/>
    </row>
    <row r="679" s="4" customFormat="1" ht="15.75">
      <c r="A679" s="13"/>
    </row>
    <row r="680" s="4" customFormat="1" ht="15.75">
      <c r="A680" s="13"/>
    </row>
    <row r="681" s="4" customFormat="1" ht="15.75">
      <c r="A681" s="13"/>
    </row>
    <row r="682" s="4" customFormat="1" ht="15.75">
      <c r="A682" s="13"/>
    </row>
    <row r="683" s="4" customFormat="1" ht="15.75">
      <c r="A683" s="13"/>
    </row>
    <row r="684" s="4" customFormat="1" ht="15.75">
      <c r="A684" s="13"/>
    </row>
    <row r="685" s="4" customFormat="1" ht="15.75">
      <c r="A685" s="13"/>
    </row>
    <row r="686" s="4" customFormat="1" ht="15.75">
      <c r="A686" s="13"/>
    </row>
    <row r="687" s="4" customFormat="1" ht="15.75">
      <c r="A687" s="13"/>
    </row>
    <row r="688" s="4" customFormat="1" ht="15.75">
      <c r="A688" s="13"/>
    </row>
    <row r="689" s="4" customFormat="1" ht="15.75">
      <c r="A689" s="13"/>
    </row>
    <row r="690" s="4" customFormat="1" ht="15.75">
      <c r="A690" s="13"/>
    </row>
    <row r="691" s="4" customFormat="1" ht="15.75">
      <c r="A691" s="13"/>
    </row>
    <row r="692" s="4" customFormat="1" ht="15.75">
      <c r="A692" s="13"/>
    </row>
    <row r="693" s="4" customFormat="1" ht="15.75">
      <c r="A693" s="13"/>
    </row>
    <row r="694" s="4" customFormat="1" ht="15.75">
      <c r="A694" s="13"/>
    </row>
    <row r="695" s="4" customFormat="1" ht="15.75">
      <c r="A695" s="13"/>
    </row>
    <row r="696" s="4" customFormat="1" ht="15.75">
      <c r="A696" s="13"/>
    </row>
    <row r="697" s="4" customFormat="1" ht="15.75">
      <c r="A697" s="13"/>
    </row>
    <row r="698" s="4" customFormat="1" ht="15.75">
      <c r="A698" s="13"/>
    </row>
    <row r="699" s="4" customFormat="1" ht="15.75">
      <c r="A699" s="13"/>
    </row>
    <row r="700" s="4" customFormat="1" ht="15.75">
      <c r="A700" s="13"/>
    </row>
    <row r="701" s="4" customFormat="1" ht="15.75">
      <c r="A701" s="13"/>
    </row>
    <row r="702" s="4" customFormat="1" ht="15.75">
      <c r="A702" s="13"/>
    </row>
    <row r="703" s="4" customFormat="1" ht="15.75">
      <c r="A703" s="13"/>
    </row>
    <row r="704" s="4" customFormat="1" ht="15.75">
      <c r="A704" s="13"/>
    </row>
    <row r="705" s="4" customFormat="1" ht="15.75">
      <c r="A705" s="13"/>
    </row>
    <row r="706" s="4" customFormat="1" ht="15.75">
      <c r="A706" s="13"/>
    </row>
    <row r="707" s="4" customFormat="1" ht="15.75">
      <c r="A707" s="13"/>
    </row>
    <row r="708" s="4" customFormat="1" ht="15.75">
      <c r="A708" s="13"/>
    </row>
    <row r="709" s="4" customFormat="1" ht="15.75">
      <c r="A709" s="13"/>
    </row>
    <row r="710" s="4" customFormat="1" ht="15.75">
      <c r="A710" s="13"/>
    </row>
    <row r="711" s="4" customFormat="1" ht="15.75">
      <c r="A711" s="13"/>
    </row>
    <row r="712" s="4" customFormat="1" ht="15.75">
      <c r="A712" s="13"/>
    </row>
    <row r="713" s="4" customFormat="1" ht="15.75">
      <c r="A713" s="13"/>
    </row>
    <row r="714" s="4" customFormat="1" ht="15.75">
      <c r="A714" s="13"/>
    </row>
    <row r="715" s="4" customFormat="1" ht="15.75">
      <c r="A715" s="13"/>
    </row>
    <row r="716" s="4" customFormat="1" ht="15.75">
      <c r="A716" s="13"/>
    </row>
    <row r="717" s="4" customFormat="1" ht="15.75">
      <c r="A717" s="13"/>
    </row>
    <row r="718" s="4" customFormat="1" ht="15.75">
      <c r="A718" s="13"/>
    </row>
    <row r="719" s="4" customFormat="1" ht="15.75">
      <c r="A719" s="13"/>
    </row>
    <row r="720" s="4" customFormat="1" ht="15.75">
      <c r="A720" s="13"/>
    </row>
    <row r="721" s="4" customFormat="1" ht="15.75">
      <c r="A721" s="13"/>
    </row>
    <row r="722" s="4" customFormat="1" ht="15.75">
      <c r="A722" s="13"/>
    </row>
    <row r="723" s="4" customFormat="1" ht="15.75">
      <c r="A723" s="13"/>
    </row>
    <row r="724" s="4" customFormat="1" ht="15.75">
      <c r="A724" s="13"/>
    </row>
    <row r="725" s="4" customFormat="1" ht="15.75">
      <c r="A725" s="13"/>
    </row>
    <row r="726" s="4" customFormat="1" ht="15.75">
      <c r="A726" s="13"/>
    </row>
    <row r="727" s="4" customFormat="1" ht="15.75">
      <c r="A727" s="13"/>
    </row>
    <row r="728" s="4" customFormat="1" ht="15.75">
      <c r="A728" s="13"/>
    </row>
    <row r="729" s="4" customFormat="1" ht="15.75">
      <c r="A729" s="13"/>
    </row>
    <row r="730" s="4" customFormat="1" ht="15.75">
      <c r="A730" s="13"/>
    </row>
    <row r="731" s="4" customFormat="1" ht="15.75">
      <c r="A731" s="13"/>
    </row>
    <row r="732" s="4" customFormat="1" ht="15.75">
      <c r="A732" s="13"/>
    </row>
    <row r="733" s="4" customFormat="1" ht="15.75">
      <c r="A733" s="13"/>
    </row>
    <row r="734" s="4" customFormat="1" ht="15.75">
      <c r="A734" s="13"/>
    </row>
    <row r="735" s="4" customFormat="1" ht="15.75">
      <c r="A735" s="13"/>
    </row>
    <row r="736" s="4" customFormat="1" ht="15.75">
      <c r="A736" s="13"/>
    </row>
    <row r="737" s="4" customFormat="1" ht="15.75">
      <c r="A737" s="13"/>
    </row>
    <row r="738" s="4" customFormat="1" ht="15.75">
      <c r="A738" s="13"/>
    </row>
    <row r="739" s="4" customFormat="1" ht="15.75">
      <c r="A739" s="13"/>
    </row>
    <row r="740" s="4" customFormat="1" ht="15.75">
      <c r="A740" s="13"/>
    </row>
    <row r="741" s="4" customFormat="1" ht="15.75">
      <c r="A741" s="13"/>
    </row>
    <row r="742" s="4" customFormat="1" ht="15.75">
      <c r="A742" s="13"/>
    </row>
    <row r="743" s="4" customFormat="1" ht="15.75">
      <c r="A743" s="13"/>
    </row>
    <row r="744" s="4" customFormat="1" ht="15.75">
      <c r="A744" s="13"/>
    </row>
    <row r="745" s="4" customFormat="1" ht="15.75">
      <c r="A745" s="13"/>
    </row>
    <row r="746" s="4" customFormat="1" ht="15.75">
      <c r="A746" s="13"/>
    </row>
    <row r="747" s="4" customFormat="1" ht="15.75">
      <c r="A747" s="13"/>
    </row>
    <row r="748" s="4" customFormat="1" ht="15.75">
      <c r="A748" s="13"/>
    </row>
    <row r="749" s="4" customFormat="1" ht="15.75">
      <c r="A749" s="13"/>
    </row>
    <row r="750" s="4" customFormat="1" ht="15.75">
      <c r="A750" s="13"/>
    </row>
    <row r="751" s="4" customFormat="1" ht="15.75">
      <c r="A751" s="13"/>
    </row>
    <row r="752" s="4" customFormat="1" ht="15.75">
      <c r="A752" s="13"/>
    </row>
    <row r="753" s="4" customFormat="1" ht="15.75">
      <c r="A753" s="13"/>
    </row>
    <row r="754" s="4" customFormat="1" ht="15.75">
      <c r="A754" s="13"/>
    </row>
    <row r="755" s="4" customFormat="1" ht="15.75">
      <c r="A755" s="13"/>
    </row>
    <row r="756" s="4" customFormat="1" ht="15.75">
      <c r="A756" s="13"/>
    </row>
    <row r="757" s="4" customFormat="1" ht="15.75">
      <c r="A757" s="13"/>
    </row>
    <row r="758" s="4" customFormat="1" ht="15.75">
      <c r="A758" s="13"/>
    </row>
    <row r="759" s="4" customFormat="1" ht="15.75">
      <c r="A759" s="13"/>
    </row>
    <row r="760" s="4" customFormat="1" ht="15.75">
      <c r="A760" s="13"/>
    </row>
    <row r="761" s="4" customFormat="1" ht="15.75">
      <c r="A761" s="13"/>
    </row>
    <row r="762" s="4" customFormat="1" ht="15.75">
      <c r="A762" s="13"/>
    </row>
    <row r="763" s="4" customFormat="1" ht="15.75">
      <c r="A763" s="13"/>
    </row>
    <row r="764" s="4" customFormat="1" ht="15.75">
      <c r="A764" s="13"/>
    </row>
    <row r="765" s="4" customFormat="1" ht="15.75">
      <c r="A765" s="13"/>
    </row>
    <row r="766" s="4" customFormat="1" ht="15.75">
      <c r="A766" s="13"/>
    </row>
    <row r="767" s="4" customFormat="1" ht="15.75">
      <c r="A767" s="13"/>
    </row>
    <row r="768" s="4" customFormat="1" ht="15.75">
      <c r="A768" s="13"/>
    </row>
    <row r="769" s="4" customFormat="1" ht="15.75">
      <c r="A769" s="13"/>
    </row>
    <row r="770" s="4" customFormat="1" ht="15.75">
      <c r="A770" s="13"/>
    </row>
    <row r="771" s="4" customFormat="1" ht="15.75">
      <c r="A771" s="13"/>
    </row>
    <row r="772" s="4" customFormat="1" ht="15.75">
      <c r="A772" s="13"/>
    </row>
    <row r="773" s="4" customFormat="1" ht="15.75">
      <c r="A773" s="13"/>
    </row>
    <row r="774" s="4" customFormat="1" ht="15.75">
      <c r="A774" s="13"/>
    </row>
    <row r="775" s="4" customFormat="1" ht="15.75">
      <c r="A775" s="13"/>
    </row>
    <row r="776" s="4" customFormat="1" ht="15.75">
      <c r="A776" s="13"/>
    </row>
    <row r="777" s="4" customFormat="1" ht="15.75">
      <c r="A777" s="13"/>
    </row>
    <row r="778" s="4" customFormat="1" ht="15.75">
      <c r="A778" s="13"/>
    </row>
    <row r="779" s="4" customFormat="1" ht="15.75">
      <c r="A779" s="13"/>
    </row>
    <row r="780" s="4" customFormat="1" ht="15.75">
      <c r="A780" s="13"/>
    </row>
    <row r="781" s="4" customFormat="1" ht="15.75">
      <c r="A781" s="13"/>
    </row>
    <row r="782" s="4" customFormat="1" ht="15.75">
      <c r="A782" s="13"/>
    </row>
    <row r="783" s="4" customFormat="1" ht="15.75">
      <c r="A783" s="13"/>
    </row>
    <row r="784" s="4" customFormat="1" ht="15.75">
      <c r="A784" s="13"/>
    </row>
    <row r="785" s="4" customFormat="1" ht="15.75">
      <c r="A785" s="13"/>
    </row>
    <row r="786" s="4" customFormat="1" ht="15.75">
      <c r="A786" s="13"/>
    </row>
    <row r="787" s="4" customFormat="1" ht="15.75">
      <c r="A787" s="13"/>
    </row>
    <row r="788" s="4" customFormat="1" ht="15.75">
      <c r="A788" s="13"/>
    </row>
    <row r="789" s="4" customFormat="1" ht="15.75">
      <c r="A789" s="13"/>
    </row>
    <row r="790" s="4" customFormat="1" ht="15.75">
      <c r="A790" s="13"/>
    </row>
    <row r="791" s="4" customFormat="1" ht="15.75">
      <c r="A791" s="13"/>
    </row>
    <row r="792" s="4" customFormat="1" ht="15.75">
      <c r="A792" s="13"/>
    </row>
    <row r="793" s="4" customFormat="1" ht="15.75">
      <c r="A793" s="13"/>
    </row>
    <row r="794" s="4" customFormat="1" ht="15.75">
      <c r="A794" s="13"/>
    </row>
    <row r="795" s="4" customFormat="1" ht="15.75">
      <c r="A795" s="13"/>
    </row>
    <row r="796" s="4" customFormat="1" ht="15.75">
      <c r="A796" s="13"/>
    </row>
    <row r="797" s="4" customFormat="1" ht="15.75">
      <c r="A797" s="13"/>
    </row>
    <row r="798" s="4" customFormat="1" ht="15.75">
      <c r="A798" s="13"/>
    </row>
    <row r="799" s="4" customFormat="1" ht="15.75">
      <c r="A799" s="13"/>
    </row>
    <row r="800" s="4" customFormat="1" ht="15.75">
      <c r="A800" s="13"/>
    </row>
    <row r="801" s="4" customFormat="1" ht="15.75">
      <c r="A801" s="13"/>
    </row>
    <row r="802" s="4" customFormat="1" ht="15.75">
      <c r="A802" s="13"/>
    </row>
    <row r="803" s="4" customFormat="1" ht="15.75">
      <c r="A803" s="13"/>
    </row>
    <row r="804" s="4" customFormat="1" ht="15.75">
      <c r="A804" s="13"/>
    </row>
    <row r="805" s="4" customFormat="1" ht="15.75">
      <c r="A805" s="13"/>
    </row>
    <row r="806" s="4" customFormat="1" ht="15.75">
      <c r="A806" s="13"/>
    </row>
    <row r="807" s="4" customFormat="1" ht="15.75">
      <c r="A807" s="13"/>
    </row>
    <row r="808" s="4" customFormat="1" ht="15.75">
      <c r="A808" s="13"/>
    </row>
    <row r="809" s="4" customFormat="1" ht="15.75">
      <c r="A809" s="13"/>
    </row>
    <row r="810" s="4" customFormat="1" ht="15.75">
      <c r="A810" s="13"/>
    </row>
    <row r="811" s="4" customFormat="1" ht="15.75">
      <c r="A811" s="13"/>
    </row>
    <row r="812" s="4" customFormat="1" ht="15.75">
      <c r="A812" s="13"/>
    </row>
    <row r="813" s="4" customFormat="1" ht="15.75">
      <c r="A813" s="13"/>
    </row>
    <row r="814" s="4" customFormat="1" ht="15.75">
      <c r="A814" s="13"/>
    </row>
    <row r="815" s="4" customFormat="1" ht="15.75">
      <c r="A815" s="13"/>
    </row>
    <row r="816" s="4" customFormat="1" ht="15.75">
      <c r="A816" s="13"/>
    </row>
    <row r="817" s="4" customFormat="1" ht="15.75">
      <c r="A817" s="13"/>
    </row>
    <row r="818" s="4" customFormat="1" ht="15.75">
      <c r="A818" s="13"/>
    </row>
    <row r="819" s="4" customFormat="1" ht="15.75">
      <c r="A819" s="13"/>
    </row>
    <row r="820" s="4" customFormat="1" ht="15.75">
      <c r="A820" s="13"/>
    </row>
    <row r="821" s="4" customFormat="1" ht="15.75">
      <c r="A821" s="13"/>
    </row>
    <row r="822" s="4" customFormat="1" ht="15.75">
      <c r="A822" s="13"/>
    </row>
    <row r="823" s="4" customFormat="1" ht="15.75">
      <c r="A823" s="13"/>
    </row>
    <row r="824" s="4" customFormat="1" ht="15.75">
      <c r="A824" s="13"/>
    </row>
    <row r="825" s="4" customFormat="1" ht="15.75">
      <c r="A825" s="13"/>
    </row>
    <row r="826" s="4" customFormat="1" ht="15.75">
      <c r="A826" s="13"/>
    </row>
    <row r="827" s="4" customFormat="1" ht="15.75">
      <c r="A827" s="13"/>
    </row>
    <row r="828" s="4" customFormat="1" ht="15.75">
      <c r="A828" s="13"/>
    </row>
    <row r="829" s="4" customFormat="1" ht="15.75">
      <c r="A829" s="13"/>
    </row>
    <row r="830" s="4" customFormat="1" ht="15.75">
      <c r="A830" s="13"/>
    </row>
    <row r="831" s="4" customFormat="1" ht="15.75">
      <c r="A831" s="13"/>
    </row>
    <row r="832" s="4" customFormat="1" ht="15.75">
      <c r="A832" s="13"/>
    </row>
    <row r="833" s="4" customFormat="1" ht="15.75">
      <c r="A833" s="13"/>
    </row>
    <row r="834" s="4" customFormat="1" ht="15.75">
      <c r="A834" s="13"/>
    </row>
    <row r="835" s="4" customFormat="1" ht="15.75">
      <c r="A835" s="13"/>
    </row>
    <row r="836" s="4" customFormat="1" ht="15.75">
      <c r="A836" s="13"/>
    </row>
    <row r="837" s="4" customFormat="1" ht="15.75">
      <c r="A837" s="13"/>
    </row>
    <row r="838" s="4" customFormat="1" ht="15.75">
      <c r="A838" s="13"/>
    </row>
    <row r="839" s="4" customFormat="1" ht="15.75">
      <c r="A839" s="13"/>
    </row>
    <row r="840" s="4" customFormat="1" ht="15.75">
      <c r="A840" s="13"/>
    </row>
    <row r="841" s="4" customFormat="1" ht="15.75">
      <c r="A841" s="13"/>
    </row>
    <row r="842" s="4" customFormat="1" ht="15.75">
      <c r="A842" s="13"/>
    </row>
    <row r="843" s="4" customFormat="1" ht="15.75">
      <c r="A843" s="13"/>
    </row>
    <row r="844" s="4" customFormat="1" ht="15.75">
      <c r="A844" s="13"/>
    </row>
    <row r="845" s="4" customFormat="1" ht="15.75">
      <c r="A845" s="13"/>
    </row>
    <row r="846" s="4" customFormat="1" ht="15.75">
      <c r="A846" s="13"/>
    </row>
    <row r="847" s="4" customFormat="1" ht="15.75">
      <c r="A847" s="13"/>
    </row>
    <row r="848" s="4" customFormat="1" ht="15.75">
      <c r="A848" s="13"/>
    </row>
    <row r="849" s="4" customFormat="1" ht="15.75">
      <c r="A849" s="13"/>
    </row>
    <row r="850" s="4" customFormat="1" ht="15.75">
      <c r="A850" s="13"/>
    </row>
    <row r="851" s="4" customFormat="1" ht="15.75">
      <c r="A851" s="13"/>
    </row>
    <row r="852" s="4" customFormat="1" ht="15.75">
      <c r="A852" s="13"/>
    </row>
    <row r="853" s="4" customFormat="1" ht="15.75">
      <c r="A853" s="13"/>
    </row>
    <row r="854" s="4" customFormat="1" ht="15.75">
      <c r="A854" s="13"/>
    </row>
    <row r="855" s="4" customFormat="1" ht="15.75">
      <c r="A855" s="13"/>
    </row>
    <row r="856" s="4" customFormat="1" ht="15.75">
      <c r="A856" s="13"/>
    </row>
    <row r="857" s="4" customFormat="1" ht="15.75">
      <c r="A857" s="13"/>
    </row>
    <row r="858" s="4" customFormat="1" ht="15.75">
      <c r="A858" s="13"/>
    </row>
    <row r="859" s="4" customFormat="1" ht="15.75">
      <c r="A859" s="13"/>
    </row>
    <row r="860" s="4" customFormat="1" ht="15.75">
      <c r="A860" s="13"/>
    </row>
    <row r="861" s="4" customFormat="1" ht="15.75">
      <c r="A861" s="13"/>
    </row>
    <row r="862" s="4" customFormat="1" ht="15.75">
      <c r="A862" s="13"/>
    </row>
    <row r="863" s="4" customFormat="1" ht="15.75">
      <c r="A863" s="13"/>
    </row>
    <row r="864" s="4" customFormat="1" ht="15.75">
      <c r="A864" s="13"/>
    </row>
    <row r="865" s="4" customFormat="1" ht="15.75">
      <c r="A865" s="13"/>
    </row>
    <row r="866" s="4" customFormat="1" ht="15.75">
      <c r="A866" s="13"/>
    </row>
    <row r="867" s="4" customFormat="1" ht="15.75">
      <c r="A867" s="13"/>
    </row>
    <row r="868" s="4" customFormat="1" ht="15.75">
      <c r="A868" s="13"/>
    </row>
    <row r="869" s="4" customFormat="1" ht="15.75">
      <c r="A869" s="13"/>
    </row>
    <row r="870" s="4" customFormat="1" ht="15.75">
      <c r="A870" s="13"/>
    </row>
    <row r="871" s="4" customFormat="1" ht="15.75">
      <c r="A871" s="13"/>
    </row>
    <row r="872" s="4" customFormat="1" ht="15.75">
      <c r="A872" s="13"/>
    </row>
    <row r="873" s="4" customFormat="1" ht="15.75">
      <c r="A873" s="13"/>
    </row>
    <row r="874" s="4" customFormat="1" ht="15.75">
      <c r="A874" s="13"/>
    </row>
    <row r="875" s="4" customFormat="1" ht="15.75">
      <c r="A875" s="13"/>
    </row>
  </sheetData>
  <printOptions/>
  <pageMargins left="0.75" right="0.29" top="0.56" bottom="0.63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5"/>
  <sheetViews>
    <sheetView workbookViewId="0" topLeftCell="A1">
      <selection activeCell="A1" sqref="A1"/>
    </sheetView>
  </sheetViews>
  <sheetFormatPr defaultColWidth="8.88671875" defaultRowHeight="15.75"/>
  <cols>
    <col min="1" max="1" width="4.4453125" style="14" customWidth="1"/>
    <col min="2" max="2" width="0.3359375" style="10" hidden="1" customWidth="1"/>
    <col min="3" max="3" width="42.77734375" style="10" customWidth="1"/>
    <col min="4" max="4" width="0.44140625" style="10" customWidth="1"/>
    <col min="5" max="5" width="10.21484375" style="10" customWidth="1"/>
    <col min="6" max="6" width="0.44140625" style="10" customWidth="1"/>
    <col min="7" max="7" width="10.3359375" style="10" customWidth="1"/>
    <col min="8" max="8" width="0.44140625" style="10" customWidth="1"/>
    <col min="9" max="9" width="0.55078125" style="10" hidden="1" customWidth="1"/>
    <col min="10" max="16384" width="8.77734375" style="10" customWidth="1"/>
  </cols>
  <sheetData>
    <row r="1" spans="1:9" ht="3.75" customHeight="1">
      <c r="A1" s="13"/>
      <c r="B1" s="4"/>
      <c r="C1" s="4"/>
      <c r="D1" s="4"/>
      <c r="F1" s="4"/>
      <c r="G1" s="4"/>
      <c r="H1" s="4"/>
      <c r="I1" s="4"/>
    </row>
    <row r="2" spans="1:9" ht="17.25" customHeight="1">
      <c r="A2" s="13" t="s">
        <v>150</v>
      </c>
      <c r="B2" s="4"/>
      <c r="C2" s="4"/>
      <c r="D2" s="4"/>
      <c r="E2" s="14"/>
      <c r="F2" s="13"/>
      <c r="G2" s="14"/>
      <c r="H2" s="14"/>
      <c r="I2" s="14"/>
    </row>
    <row r="3" spans="1:9" ht="27.75" customHeight="1" thickBot="1">
      <c r="A3" s="13"/>
      <c r="B3" s="4"/>
      <c r="C3" s="4"/>
      <c r="G3" s="18" t="s">
        <v>139</v>
      </c>
      <c r="H3" s="12"/>
      <c r="I3" s="12"/>
    </row>
    <row r="4" spans="1:8" ht="15.75" customHeight="1">
      <c r="A4" s="40"/>
      <c r="B4" s="41"/>
      <c r="C4" s="41"/>
      <c r="D4" s="42"/>
      <c r="E4" s="83">
        <v>-1</v>
      </c>
      <c r="F4" s="74"/>
      <c r="G4" s="48">
        <v>-2</v>
      </c>
      <c r="H4" s="74"/>
    </row>
    <row r="5" spans="1:8" ht="17.25" customHeight="1">
      <c r="A5" s="43"/>
      <c r="B5" s="12"/>
      <c r="C5" s="44"/>
      <c r="D5" s="45"/>
      <c r="E5" s="86" t="s">
        <v>60</v>
      </c>
      <c r="F5" s="17"/>
      <c r="G5" s="50" t="s">
        <v>60</v>
      </c>
      <c r="H5" s="17"/>
    </row>
    <row r="6" spans="1:8" ht="17.25" customHeight="1">
      <c r="A6" s="43"/>
      <c r="B6" s="12"/>
      <c r="C6" s="12"/>
      <c r="D6" s="45"/>
      <c r="E6" s="86" t="s">
        <v>2</v>
      </c>
      <c r="F6" s="17"/>
      <c r="G6" s="50" t="s">
        <v>2</v>
      </c>
      <c r="H6" s="17"/>
    </row>
    <row r="7" spans="1:8" ht="17.25" customHeight="1">
      <c r="A7" s="43"/>
      <c r="B7" s="12"/>
      <c r="C7" s="12"/>
      <c r="D7" s="45"/>
      <c r="E7" s="49" t="s">
        <v>137</v>
      </c>
      <c r="F7" s="17"/>
      <c r="G7" s="51" t="s">
        <v>57</v>
      </c>
      <c r="H7" s="17"/>
    </row>
    <row r="8" spans="1:8" ht="17.25" customHeight="1" thickBot="1">
      <c r="A8" s="46"/>
      <c r="B8" s="47"/>
      <c r="C8" s="76" t="s">
        <v>42</v>
      </c>
      <c r="D8" s="60"/>
      <c r="E8" s="87"/>
      <c r="F8" s="47"/>
      <c r="G8" s="73"/>
      <c r="H8" s="12"/>
    </row>
    <row r="9" spans="1:8" ht="15.75" customHeight="1">
      <c r="A9" s="40"/>
      <c r="B9" s="41"/>
      <c r="C9" s="77"/>
      <c r="D9" s="52"/>
      <c r="E9" s="70"/>
      <c r="F9" s="41"/>
      <c r="G9" s="70"/>
      <c r="H9" s="12"/>
    </row>
    <row r="10" spans="1:8" ht="17.25" customHeight="1">
      <c r="A10" s="53">
        <v>1</v>
      </c>
      <c r="B10" s="12"/>
      <c r="C10" s="78" t="s">
        <v>9</v>
      </c>
      <c r="D10" s="140"/>
      <c r="E10" s="137">
        <v>2080.06</v>
      </c>
      <c r="F10" s="141"/>
      <c r="G10" s="139">
        <v>1815.06</v>
      </c>
      <c r="H10" s="140"/>
    </row>
    <row r="11" spans="1:8" ht="17.25" customHeight="1">
      <c r="A11" s="53">
        <f>+A10+1</f>
        <v>2</v>
      </c>
      <c r="B11" s="12"/>
      <c r="C11" s="79" t="s">
        <v>49</v>
      </c>
      <c r="D11" s="140"/>
      <c r="E11" s="137"/>
      <c r="F11" s="141"/>
      <c r="G11" s="139"/>
      <c r="H11" s="140"/>
    </row>
    <row r="12" spans="1:8" ht="17.25" customHeight="1">
      <c r="A12" s="53"/>
      <c r="B12" s="12"/>
      <c r="C12" s="79" t="s">
        <v>50</v>
      </c>
      <c r="D12" s="140"/>
      <c r="E12" s="142">
        <v>0</v>
      </c>
      <c r="F12" s="144"/>
      <c r="G12" s="143">
        <v>0</v>
      </c>
      <c r="H12" s="140"/>
    </row>
    <row r="13" spans="1:8" ht="17.25" customHeight="1">
      <c r="A13" s="54">
        <f>+A11+1</f>
        <v>3</v>
      </c>
      <c r="B13" s="12"/>
      <c r="C13" s="79" t="s">
        <v>12</v>
      </c>
      <c r="D13" s="140"/>
      <c r="E13" s="145">
        <v>19.95</v>
      </c>
      <c r="F13" s="144"/>
      <c r="G13" s="146">
        <v>9.24</v>
      </c>
      <c r="H13" s="140"/>
    </row>
    <row r="14" spans="1:8" ht="17.25" customHeight="1">
      <c r="A14" s="54">
        <f>+A13+1</f>
        <v>4</v>
      </c>
      <c r="B14" s="12"/>
      <c r="C14" s="9" t="s">
        <v>51</v>
      </c>
      <c r="D14" s="140"/>
      <c r="E14" s="147">
        <f>SUM(E10:E13)</f>
        <v>2100.0099999999998</v>
      </c>
      <c r="F14" s="138"/>
      <c r="G14" s="148">
        <f>SUM(G10:G13)</f>
        <v>1824.3</v>
      </c>
      <c r="H14" s="140"/>
    </row>
    <row r="15" spans="1:8" ht="17.25" customHeight="1">
      <c r="A15" s="53">
        <f>+A14+1</f>
        <v>5</v>
      </c>
      <c r="B15" s="12"/>
      <c r="C15" s="9" t="s">
        <v>43</v>
      </c>
      <c r="D15" s="140"/>
      <c r="E15" s="137"/>
      <c r="F15" s="138"/>
      <c r="G15" s="139"/>
      <c r="H15" s="140"/>
    </row>
    <row r="16" spans="1:8" ht="17.25" customHeight="1">
      <c r="A16" s="53"/>
      <c r="B16" s="12"/>
      <c r="C16" s="12" t="s">
        <v>6</v>
      </c>
      <c r="D16" s="140"/>
      <c r="E16" s="142">
        <v>1.13</v>
      </c>
      <c r="F16" s="144"/>
      <c r="G16" s="143">
        <v>-25.11</v>
      </c>
      <c r="H16" s="140"/>
    </row>
    <row r="17" spans="1:8" ht="17.25" customHeight="1">
      <c r="A17" s="53"/>
      <c r="B17" s="12"/>
      <c r="C17" s="12" t="s">
        <v>14</v>
      </c>
      <c r="D17" s="140"/>
      <c r="E17" s="142">
        <v>439.52</v>
      </c>
      <c r="F17" s="144"/>
      <c r="G17" s="143">
        <v>355.45</v>
      </c>
      <c r="H17" s="140"/>
    </row>
    <row r="18" spans="1:8" ht="17.25" customHeight="1">
      <c r="A18" s="53"/>
      <c r="B18" s="12"/>
      <c r="C18" s="12" t="s">
        <v>15</v>
      </c>
      <c r="D18" s="140"/>
      <c r="E18" s="142">
        <v>71.9</v>
      </c>
      <c r="F18" s="144"/>
      <c r="G18" s="143">
        <v>70.68</v>
      </c>
      <c r="H18" s="140"/>
    </row>
    <row r="19" spans="1:8" ht="17.25" customHeight="1">
      <c r="A19" s="53"/>
      <c r="B19" s="12"/>
      <c r="C19" s="79" t="s">
        <v>10</v>
      </c>
      <c r="D19" s="140"/>
      <c r="E19" s="142">
        <v>405.51</v>
      </c>
      <c r="F19" s="144"/>
      <c r="G19" s="143">
        <v>408.19</v>
      </c>
      <c r="H19" s="140"/>
    </row>
    <row r="20" spans="1:10" ht="17.25" customHeight="1">
      <c r="A20" s="53"/>
      <c r="B20" s="12"/>
      <c r="C20" s="79" t="s">
        <v>13</v>
      </c>
      <c r="D20" s="140"/>
      <c r="E20" s="142">
        <v>858.74</v>
      </c>
      <c r="F20" s="144"/>
      <c r="G20" s="143">
        <v>849.09</v>
      </c>
      <c r="H20" s="140"/>
      <c r="J20" s="10" t="s">
        <v>151</v>
      </c>
    </row>
    <row r="21" spans="1:10" ht="17.25" customHeight="1">
      <c r="A21" s="53"/>
      <c r="B21" s="12"/>
      <c r="C21" s="12" t="s">
        <v>25</v>
      </c>
      <c r="D21" s="140"/>
      <c r="E21" s="147">
        <f>SUM(E16:E20)</f>
        <v>1776.8</v>
      </c>
      <c r="F21" s="138"/>
      <c r="G21" s="148">
        <f>SUM(G16:G20)</f>
        <v>1658.3000000000002</v>
      </c>
      <c r="H21" s="140"/>
      <c r="J21" s="10" t="s">
        <v>151</v>
      </c>
    </row>
    <row r="22" spans="1:8" ht="17.25" customHeight="1">
      <c r="A22" s="53">
        <f>+A15+1</f>
        <v>6</v>
      </c>
      <c r="B22" s="12"/>
      <c r="C22" s="79" t="s">
        <v>44</v>
      </c>
      <c r="D22" s="140"/>
      <c r="E22" s="142">
        <v>151.51</v>
      </c>
      <c r="F22" s="144"/>
      <c r="G22" s="143">
        <v>225.77</v>
      </c>
      <c r="H22" s="140"/>
    </row>
    <row r="23" spans="1:8" ht="17.25" customHeight="1">
      <c r="A23" s="53">
        <f>+A22+1</f>
        <v>7</v>
      </c>
      <c r="B23" s="12"/>
      <c r="C23" s="79" t="s">
        <v>45</v>
      </c>
      <c r="D23" s="140"/>
      <c r="E23" s="145">
        <v>50.91</v>
      </c>
      <c r="F23" s="144"/>
      <c r="G23" s="146">
        <v>50.24</v>
      </c>
      <c r="H23" s="140"/>
    </row>
    <row r="24" spans="1:8" ht="17.25" customHeight="1">
      <c r="A24" s="53">
        <f>+A23+1</f>
        <v>8</v>
      </c>
      <c r="B24" s="12"/>
      <c r="C24" s="78" t="s">
        <v>55</v>
      </c>
      <c r="D24" s="140"/>
      <c r="E24" s="142">
        <f>+E14-E21-E22-E23</f>
        <v>120.78999999999982</v>
      </c>
      <c r="F24" s="144"/>
      <c r="G24" s="143">
        <f>+G14-G21-G22-G23</f>
        <v>-110.01000000000025</v>
      </c>
      <c r="H24" s="140"/>
    </row>
    <row r="25" spans="1:8" ht="17.25" customHeight="1">
      <c r="A25" s="53">
        <f>+A24+1</f>
        <v>9</v>
      </c>
      <c r="B25" s="12"/>
      <c r="C25" s="79" t="s">
        <v>53</v>
      </c>
      <c r="D25" s="140"/>
      <c r="E25" s="145">
        <v>116</v>
      </c>
      <c r="F25" s="144"/>
      <c r="G25" s="146">
        <v>107.4</v>
      </c>
      <c r="H25" s="140"/>
    </row>
    <row r="26" spans="1:10" ht="17.25" customHeight="1">
      <c r="A26" s="53">
        <f>+A25+1</f>
        <v>10</v>
      </c>
      <c r="B26" s="12"/>
      <c r="C26" s="78" t="s">
        <v>46</v>
      </c>
      <c r="D26" s="140"/>
      <c r="E26" s="137">
        <f>+E24-E25</f>
        <v>4.7899999999998215</v>
      </c>
      <c r="F26" s="138"/>
      <c r="G26" s="139">
        <f>+G24-G25</f>
        <v>-217.41000000000025</v>
      </c>
      <c r="H26" s="140"/>
      <c r="J26" s="10" t="s">
        <v>151</v>
      </c>
    </row>
    <row r="27" spans="1:8" ht="17.25" customHeight="1">
      <c r="A27" s="53">
        <f>+A26+1</f>
        <v>11</v>
      </c>
      <c r="B27" s="12"/>
      <c r="C27" s="12" t="s">
        <v>4</v>
      </c>
      <c r="D27" s="140"/>
      <c r="E27" s="149"/>
      <c r="F27" s="140"/>
      <c r="G27" s="150"/>
      <c r="H27" s="140"/>
    </row>
    <row r="28" spans="1:8" ht="17.25" customHeight="1">
      <c r="A28" s="53"/>
      <c r="B28" s="12"/>
      <c r="C28" s="12" t="s">
        <v>16</v>
      </c>
      <c r="D28" s="140"/>
      <c r="E28" s="145">
        <v>0</v>
      </c>
      <c r="F28" s="144"/>
      <c r="G28" s="146">
        <v>0</v>
      </c>
      <c r="H28" s="140"/>
    </row>
    <row r="29" spans="1:8" ht="17.25" customHeight="1">
      <c r="A29" s="53">
        <f>+A27+1</f>
        <v>12</v>
      </c>
      <c r="B29" s="12"/>
      <c r="C29" s="78" t="s">
        <v>54</v>
      </c>
      <c r="D29" s="152"/>
      <c r="E29" s="137">
        <f>+E26-E28</f>
        <v>4.7899999999998215</v>
      </c>
      <c r="F29" s="141"/>
      <c r="G29" s="139">
        <f>+G26-G28</f>
        <v>-217.41000000000025</v>
      </c>
      <c r="H29" s="152"/>
    </row>
    <row r="30" spans="1:8" ht="17.25" customHeight="1">
      <c r="A30" s="53">
        <f>+A29+1</f>
        <v>13</v>
      </c>
      <c r="B30" s="12"/>
      <c r="C30" s="12" t="s">
        <v>5</v>
      </c>
      <c r="D30" s="140"/>
      <c r="E30" s="142"/>
      <c r="F30" s="144"/>
      <c r="G30" s="143"/>
      <c r="H30" s="140"/>
    </row>
    <row r="31" spans="1:8" ht="17.25" customHeight="1">
      <c r="A31" s="53"/>
      <c r="B31" s="12"/>
      <c r="C31" s="12" t="s">
        <v>17</v>
      </c>
      <c r="D31" s="140"/>
      <c r="E31" s="142">
        <v>0</v>
      </c>
      <c r="F31" s="144"/>
      <c r="G31" s="143">
        <v>0</v>
      </c>
      <c r="H31" s="140"/>
    </row>
    <row r="32" spans="1:8" ht="17.25" customHeight="1">
      <c r="A32" s="53"/>
      <c r="B32" s="12"/>
      <c r="C32" s="12" t="s">
        <v>18</v>
      </c>
      <c r="D32" s="140"/>
      <c r="E32" s="145">
        <v>0</v>
      </c>
      <c r="F32" s="144"/>
      <c r="G32" s="153">
        <v>0</v>
      </c>
      <c r="H32" s="140"/>
    </row>
    <row r="33" spans="1:8" ht="17.25" customHeight="1" thickBot="1">
      <c r="A33" s="53">
        <f>+A30+1</f>
        <v>14</v>
      </c>
      <c r="B33" s="12"/>
      <c r="C33" s="9" t="s">
        <v>47</v>
      </c>
      <c r="D33" s="140"/>
      <c r="E33" s="154">
        <f>+E29-E31-E32</f>
        <v>4.7899999999998215</v>
      </c>
      <c r="F33" s="141"/>
      <c r="G33" s="155">
        <f>+G29-G31-G32</f>
        <v>-217.41000000000025</v>
      </c>
      <c r="H33" s="140"/>
    </row>
    <row r="34" spans="1:8" ht="6" customHeight="1" thickTop="1">
      <c r="A34" s="53"/>
      <c r="B34" s="12"/>
      <c r="C34" s="9"/>
      <c r="D34" s="140"/>
      <c r="E34" s="137"/>
      <c r="F34" s="141"/>
      <c r="G34" s="139"/>
      <c r="H34" s="140"/>
    </row>
    <row r="35" spans="1:8" ht="17.25" customHeight="1">
      <c r="A35" s="54">
        <f>+A33+1</f>
        <v>15</v>
      </c>
      <c r="B35" s="12"/>
      <c r="C35" s="80" t="s">
        <v>19</v>
      </c>
      <c r="D35" s="140"/>
      <c r="E35" s="156">
        <v>0</v>
      </c>
      <c r="F35" s="141"/>
      <c r="G35" s="157">
        <v>0</v>
      </c>
      <c r="H35" s="140"/>
    </row>
    <row r="36" spans="1:8" ht="17.25" customHeight="1">
      <c r="A36" s="53"/>
      <c r="B36" s="12"/>
      <c r="C36" s="15" t="s">
        <v>11</v>
      </c>
      <c r="D36" s="140"/>
      <c r="E36" s="159"/>
      <c r="F36" s="144"/>
      <c r="G36" s="159"/>
      <c r="H36" s="140"/>
    </row>
    <row r="37" spans="1:8" ht="17.25" customHeight="1">
      <c r="A37" s="54">
        <f>+A35+1</f>
        <v>16</v>
      </c>
      <c r="B37" s="12"/>
      <c r="C37" s="80" t="s">
        <v>0</v>
      </c>
      <c r="D37" s="140"/>
      <c r="E37" s="294">
        <v>-1009.41</v>
      </c>
      <c r="F37" s="141"/>
      <c r="G37" s="160">
        <v>-935.12</v>
      </c>
      <c r="H37" s="140"/>
    </row>
    <row r="38" spans="1:8" ht="17.25" customHeight="1">
      <c r="A38" s="54">
        <f>+A37+1</f>
        <v>17</v>
      </c>
      <c r="B38" s="29"/>
      <c r="C38" s="55" t="s">
        <v>20</v>
      </c>
      <c r="D38" s="55"/>
      <c r="E38" s="62"/>
      <c r="F38" s="55"/>
      <c r="G38" s="64"/>
      <c r="H38" s="55"/>
    </row>
    <row r="39" spans="1:8" ht="23.25" customHeight="1" thickBot="1">
      <c r="A39" s="59"/>
      <c r="B39" s="60"/>
      <c r="C39" s="81" t="s">
        <v>21</v>
      </c>
      <c r="D39" s="61"/>
      <c r="E39" s="292" t="s">
        <v>58</v>
      </c>
      <c r="F39" s="60"/>
      <c r="G39" s="293" t="s">
        <v>58</v>
      </c>
      <c r="H39" s="60"/>
    </row>
    <row r="40" spans="1:8" ht="18" customHeight="1" hidden="1">
      <c r="A40" s="54">
        <f>+A38+1</f>
        <v>18</v>
      </c>
      <c r="B40" s="29"/>
      <c r="C40" s="55" t="s">
        <v>22</v>
      </c>
      <c r="D40" s="56"/>
      <c r="E40" s="63"/>
      <c r="F40" s="29"/>
      <c r="G40" s="65"/>
      <c r="H40" s="29"/>
    </row>
    <row r="41" spans="1:8" ht="20.25" customHeight="1" hidden="1">
      <c r="A41" s="54"/>
      <c r="B41" s="29"/>
      <c r="C41" s="55" t="s">
        <v>23</v>
      </c>
      <c r="D41" s="57"/>
      <c r="E41" s="82">
        <v>0</v>
      </c>
      <c r="F41" s="57"/>
      <c r="G41" s="66">
        <v>3648159</v>
      </c>
      <c r="H41" s="58"/>
    </row>
    <row r="42" spans="1:8" ht="20.25" customHeight="1" hidden="1">
      <c r="A42" s="59"/>
      <c r="B42" s="60"/>
      <c r="C42" s="81" t="s">
        <v>24</v>
      </c>
      <c r="D42" s="61"/>
      <c r="E42" s="71">
        <f>+E41/12453402</f>
        <v>0</v>
      </c>
      <c r="F42" s="60"/>
      <c r="G42" s="67">
        <f>+G41/12453402</f>
        <v>0.29294477123600443</v>
      </c>
      <c r="H42" s="29"/>
    </row>
    <row r="43" spans="1:8" ht="6" customHeight="1">
      <c r="A43" s="19"/>
      <c r="C43" s="23"/>
      <c r="D43" s="11"/>
      <c r="E43" s="33"/>
      <c r="G43" s="34"/>
      <c r="H43" s="29"/>
    </row>
    <row r="44" spans="1:7" ht="20.25" customHeight="1">
      <c r="A44" s="19"/>
      <c r="C44" s="23"/>
      <c r="E44" s="33"/>
      <c r="F44" s="11"/>
      <c r="G44" s="33"/>
    </row>
    <row r="45" s="4" customFormat="1" ht="15.75">
      <c r="A45" s="13"/>
    </row>
    <row r="46" s="4" customFormat="1" ht="15.75">
      <c r="A46" s="13"/>
    </row>
    <row r="47" s="4" customFormat="1" ht="15.75">
      <c r="A47" s="13"/>
    </row>
    <row r="48" s="4" customFormat="1" ht="15.75">
      <c r="A48" s="13"/>
    </row>
    <row r="49" s="4" customFormat="1" ht="15.75">
      <c r="A49" s="13"/>
    </row>
    <row r="50" s="4" customFormat="1" ht="15.75">
      <c r="A50" s="13"/>
    </row>
    <row r="51" s="4" customFormat="1" ht="15.75">
      <c r="A51" s="13"/>
    </row>
    <row r="52" s="4" customFormat="1" ht="15.75">
      <c r="A52" s="13"/>
    </row>
    <row r="53" s="4" customFormat="1" ht="15.75">
      <c r="A53" s="13"/>
    </row>
    <row r="54" s="4" customFormat="1" ht="15.75">
      <c r="A54" s="13"/>
    </row>
    <row r="55" s="4" customFormat="1" ht="15.75">
      <c r="A55" s="13"/>
    </row>
    <row r="56" s="4" customFormat="1" ht="15.75">
      <c r="A56" s="13"/>
    </row>
    <row r="57" s="4" customFormat="1" ht="15.75">
      <c r="A57" s="13"/>
    </row>
    <row r="58" s="4" customFormat="1" ht="15.75">
      <c r="A58" s="13"/>
    </row>
    <row r="59" s="4" customFormat="1" ht="15.75">
      <c r="A59" s="13"/>
    </row>
    <row r="60" s="4" customFormat="1" ht="15.75">
      <c r="A60" s="13"/>
    </row>
    <row r="61" s="4" customFormat="1" ht="15.75">
      <c r="A61" s="13"/>
    </row>
    <row r="62" s="4" customFormat="1" ht="15.75">
      <c r="A62" s="13"/>
    </row>
    <row r="63" s="4" customFormat="1" ht="15.75">
      <c r="A63" s="13"/>
    </row>
    <row r="64" s="4" customFormat="1" ht="15.75">
      <c r="A64" s="13"/>
    </row>
    <row r="65" s="4" customFormat="1" ht="15.75">
      <c r="A65" s="13"/>
    </row>
    <row r="66" s="4" customFormat="1" ht="15.75">
      <c r="A66" s="13"/>
    </row>
    <row r="67" s="4" customFormat="1" ht="15.75">
      <c r="A67" s="13"/>
    </row>
    <row r="68" s="4" customFormat="1" ht="15.75">
      <c r="A68" s="13"/>
    </row>
    <row r="69" s="4" customFormat="1" ht="15.75">
      <c r="A69" s="13"/>
    </row>
    <row r="70" s="4" customFormat="1" ht="15.75">
      <c r="A70" s="13"/>
    </row>
    <row r="71" s="4" customFormat="1" ht="15.75">
      <c r="A71" s="13"/>
    </row>
    <row r="72" s="4" customFormat="1" ht="15.75">
      <c r="A72" s="13"/>
    </row>
    <row r="73" s="4" customFormat="1" ht="15.75">
      <c r="A73" s="13"/>
    </row>
    <row r="74" s="4" customFormat="1" ht="15.75">
      <c r="A74" s="13"/>
    </row>
    <row r="75" s="4" customFormat="1" ht="15.75">
      <c r="A75" s="13"/>
    </row>
    <row r="76" s="4" customFormat="1" ht="15.75">
      <c r="A76" s="13"/>
    </row>
    <row r="77" s="4" customFormat="1" ht="15.75">
      <c r="A77" s="13"/>
    </row>
    <row r="78" s="4" customFormat="1" ht="15.75">
      <c r="A78" s="13"/>
    </row>
    <row r="79" s="4" customFormat="1" ht="15.75">
      <c r="A79" s="13"/>
    </row>
    <row r="80" s="4" customFormat="1" ht="15.75">
      <c r="A80" s="13"/>
    </row>
    <row r="81" s="4" customFormat="1" ht="15.75">
      <c r="A81" s="13"/>
    </row>
    <row r="82" s="4" customFormat="1" ht="15.75">
      <c r="A82" s="13"/>
    </row>
    <row r="83" s="4" customFormat="1" ht="15.75">
      <c r="A83" s="13"/>
    </row>
    <row r="84" s="4" customFormat="1" ht="15.75">
      <c r="A84" s="13"/>
    </row>
    <row r="85" s="4" customFormat="1" ht="15.75">
      <c r="A85" s="13"/>
    </row>
    <row r="86" s="4" customFormat="1" ht="15.75">
      <c r="A86" s="13"/>
    </row>
    <row r="87" s="4" customFormat="1" ht="15.75">
      <c r="A87" s="13"/>
    </row>
    <row r="88" s="4" customFormat="1" ht="15.75">
      <c r="A88" s="13"/>
    </row>
    <row r="89" s="4" customFormat="1" ht="15.75">
      <c r="A89" s="13"/>
    </row>
    <row r="90" s="4" customFormat="1" ht="15.75">
      <c r="A90" s="13"/>
    </row>
    <row r="91" s="4" customFormat="1" ht="15.75">
      <c r="A91" s="13"/>
    </row>
    <row r="92" s="4" customFormat="1" ht="15.75">
      <c r="A92" s="13"/>
    </row>
    <row r="93" s="4" customFormat="1" ht="15.75">
      <c r="A93" s="13"/>
    </row>
    <row r="94" s="4" customFormat="1" ht="15.75">
      <c r="A94" s="13"/>
    </row>
    <row r="95" s="4" customFormat="1" ht="15.75">
      <c r="A95" s="13"/>
    </row>
    <row r="96" s="4" customFormat="1" ht="15.75">
      <c r="A96" s="13"/>
    </row>
    <row r="97" s="4" customFormat="1" ht="15.75">
      <c r="A97" s="13"/>
    </row>
    <row r="98" s="4" customFormat="1" ht="15.75">
      <c r="A98" s="13"/>
    </row>
    <row r="99" s="4" customFormat="1" ht="15.75">
      <c r="A99" s="13"/>
    </row>
    <row r="100" s="4" customFormat="1" ht="15.75">
      <c r="A100" s="13"/>
    </row>
    <row r="101" s="4" customFormat="1" ht="15.75">
      <c r="A101" s="13"/>
    </row>
    <row r="102" s="4" customFormat="1" ht="15.75">
      <c r="A102" s="13"/>
    </row>
    <row r="103" s="4" customFormat="1" ht="15.75">
      <c r="A103" s="13"/>
    </row>
    <row r="104" s="4" customFormat="1" ht="15.75">
      <c r="A104" s="13"/>
    </row>
    <row r="105" s="4" customFormat="1" ht="15.75">
      <c r="A105" s="13"/>
    </row>
    <row r="106" s="4" customFormat="1" ht="15.75">
      <c r="A106" s="13"/>
    </row>
    <row r="107" s="4" customFormat="1" ht="15.75">
      <c r="A107" s="13"/>
    </row>
    <row r="108" s="4" customFormat="1" ht="15.75">
      <c r="A108" s="13"/>
    </row>
    <row r="109" s="4" customFormat="1" ht="15.75">
      <c r="A109" s="13"/>
    </row>
    <row r="110" s="4" customFormat="1" ht="15.75">
      <c r="A110" s="13"/>
    </row>
    <row r="111" s="4" customFormat="1" ht="15.75">
      <c r="A111" s="13"/>
    </row>
    <row r="112" s="4" customFormat="1" ht="15.75">
      <c r="A112" s="13"/>
    </row>
    <row r="113" s="4" customFormat="1" ht="15.75">
      <c r="A113" s="13"/>
    </row>
    <row r="114" s="4" customFormat="1" ht="15.75">
      <c r="A114" s="13"/>
    </row>
    <row r="115" s="4" customFormat="1" ht="15.75">
      <c r="A115" s="13"/>
    </row>
    <row r="116" s="4" customFormat="1" ht="15.75">
      <c r="A116" s="13"/>
    </row>
    <row r="117" s="4" customFormat="1" ht="15.75">
      <c r="A117" s="13"/>
    </row>
    <row r="118" s="4" customFormat="1" ht="15.75">
      <c r="A118" s="13"/>
    </row>
    <row r="119" s="4" customFormat="1" ht="15.75">
      <c r="A119" s="13"/>
    </row>
    <row r="120" s="4" customFormat="1" ht="15.75">
      <c r="A120" s="13"/>
    </row>
    <row r="121" s="4" customFormat="1" ht="15.75">
      <c r="A121" s="13"/>
    </row>
    <row r="122" s="4" customFormat="1" ht="15.75">
      <c r="A122" s="13"/>
    </row>
    <row r="123" s="4" customFormat="1" ht="15.75">
      <c r="A123" s="13"/>
    </row>
    <row r="124" s="4" customFormat="1" ht="15.75">
      <c r="A124" s="13"/>
    </row>
    <row r="125" s="4" customFormat="1" ht="15.75">
      <c r="A125" s="13"/>
    </row>
    <row r="126" s="4" customFormat="1" ht="15.75">
      <c r="A126" s="13"/>
    </row>
    <row r="127" s="4" customFormat="1" ht="15.75">
      <c r="A127" s="13"/>
    </row>
    <row r="128" s="4" customFormat="1" ht="15.75">
      <c r="A128" s="13"/>
    </row>
    <row r="129" s="4" customFormat="1" ht="15.75">
      <c r="A129" s="13"/>
    </row>
    <row r="130" s="4" customFormat="1" ht="15.75">
      <c r="A130" s="13"/>
    </row>
    <row r="131" s="4" customFormat="1" ht="15.75">
      <c r="A131" s="13"/>
    </row>
    <row r="132" s="4" customFormat="1" ht="15.75">
      <c r="A132" s="13"/>
    </row>
    <row r="133" s="4" customFormat="1" ht="15.75">
      <c r="A133" s="13"/>
    </row>
    <row r="134" s="4" customFormat="1" ht="15.75">
      <c r="A134" s="13"/>
    </row>
    <row r="135" s="4" customFormat="1" ht="15.75">
      <c r="A135" s="13"/>
    </row>
    <row r="136" s="4" customFormat="1" ht="15.75">
      <c r="A136" s="13"/>
    </row>
    <row r="137" s="4" customFormat="1" ht="15.75">
      <c r="A137" s="13"/>
    </row>
    <row r="138" s="4" customFormat="1" ht="15.75">
      <c r="A138" s="13"/>
    </row>
    <row r="139" s="4" customFormat="1" ht="15.75">
      <c r="A139" s="13"/>
    </row>
    <row r="140" s="4" customFormat="1" ht="15.75">
      <c r="A140" s="13"/>
    </row>
    <row r="141" s="4" customFormat="1" ht="15.75">
      <c r="A141" s="13"/>
    </row>
    <row r="142" s="4" customFormat="1" ht="15.75">
      <c r="A142" s="13"/>
    </row>
    <row r="143" s="4" customFormat="1" ht="15.75">
      <c r="A143" s="13"/>
    </row>
    <row r="144" s="4" customFormat="1" ht="15.75">
      <c r="A144" s="13"/>
    </row>
    <row r="145" s="4" customFormat="1" ht="15.75">
      <c r="A145" s="13"/>
    </row>
    <row r="146" s="4" customFormat="1" ht="15.75">
      <c r="A146" s="13"/>
    </row>
    <row r="147" s="4" customFormat="1" ht="15.75">
      <c r="A147" s="13"/>
    </row>
    <row r="148" s="4" customFormat="1" ht="15.75">
      <c r="A148" s="13"/>
    </row>
    <row r="149" s="4" customFormat="1" ht="15.75">
      <c r="A149" s="13"/>
    </row>
    <row r="150" s="4" customFormat="1" ht="15.75">
      <c r="A150" s="13"/>
    </row>
    <row r="151" s="4" customFormat="1" ht="15.75">
      <c r="A151" s="13"/>
    </row>
    <row r="152" s="4" customFormat="1" ht="15.75">
      <c r="A152" s="13"/>
    </row>
    <row r="153" s="4" customFormat="1" ht="15.75">
      <c r="A153" s="13"/>
    </row>
    <row r="154" s="4" customFormat="1" ht="15.75">
      <c r="A154" s="13"/>
    </row>
    <row r="155" s="4" customFormat="1" ht="15.75">
      <c r="A155" s="13"/>
    </row>
    <row r="156" s="4" customFormat="1" ht="15.75">
      <c r="A156" s="13"/>
    </row>
    <row r="157" s="4" customFormat="1" ht="15.75">
      <c r="A157" s="13"/>
    </row>
    <row r="158" s="4" customFormat="1" ht="15.75">
      <c r="A158" s="13"/>
    </row>
    <row r="159" s="4" customFormat="1" ht="15.75">
      <c r="A159" s="13"/>
    </row>
    <row r="160" s="4" customFormat="1" ht="15.75">
      <c r="A160" s="13"/>
    </row>
    <row r="161" s="4" customFormat="1" ht="15.75">
      <c r="A161" s="13"/>
    </row>
    <row r="162" s="4" customFormat="1" ht="15.75">
      <c r="A162" s="13"/>
    </row>
    <row r="163" s="4" customFormat="1" ht="15.75">
      <c r="A163" s="13"/>
    </row>
    <row r="164" s="4" customFormat="1" ht="15.75">
      <c r="A164" s="13"/>
    </row>
    <row r="165" s="4" customFormat="1" ht="15.75">
      <c r="A165" s="13"/>
    </row>
    <row r="166" s="4" customFormat="1" ht="15.75">
      <c r="A166" s="13"/>
    </row>
    <row r="167" s="4" customFormat="1" ht="15.75">
      <c r="A167" s="13"/>
    </row>
    <row r="168" s="4" customFormat="1" ht="15.75">
      <c r="A168" s="13"/>
    </row>
    <row r="169" s="4" customFormat="1" ht="15.75">
      <c r="A169" s="13"/>
    </row>
    <row r="170" s="4" customFormat="1" ht="15.75">
      <c r="A170" s="13"/>
    </row>
    <row r="171" s="4" customFormat="1" ht="15.75">
      <c r="A171" s="13"/>
    </row>
    <row r="172" s="4" customFormat="1" ht="15.75">
      <c r="A172" s="13"/>
    </row>
    <row r="173" s="4" customFormat="1" ht="15.75">
      <c r="A173" s="13"/>
    </row>
    <row r="174" s="4" customFormat="1" ht="15.75">
      <c r="A174" s="13"/>
    </row>
    <row r="175" s="4" customFormat="1" ht="15.75">
      <c r="A175" s="13"/>
    </row>
    <row r="176" s="4" customFormat="1" ht="15.75">
      <c r="A176" s="13"/>
    </row>
    <row r="177" s="4" customFormat="1" ht="15.75">
      <c r="A177" s="13"/>
    </row>
    <row r="178" s="4" customFormat="1" ht="15.75">
      <c r="A178" s="13"/>
    </row>
    <row r="179" s="4" customFormat="1" ht="15.75">
      <c r="A179" s="13"/>
    </row>
    <row r="180" s="4" customFormat="1" ht="15.75">
      <c r="A180" s="13"/>
    </row>
    <row r="181" s="4" customFormat="1" ht="15.75">
      <c r="A181" s="13"/>
    </row>
    <row r="182" s="4" customFormat="1" ht="15.75">
      <c r="A182" s="13"/>
    </row>
    <row r="183" s="4" customFormat="1" ht="15.75">
      <c r="A183" s="13"/>
    </row>
    <row r="184" s="4" customFormat="1" ht="15.75">
      <c r="A184" s="13"/>
    </row>
    <row r="185" s="4" customFormat="1" ht="15.75">
      <c r="A185" s="13"/>
    </row>
    <row r="186" s="4" customFormat="1" ht="15.75">
      <c r="A186" s="13"/>
    </row>
    <row r="187" s="4" customFormat="1" ht="15.75">
      <c r="A187" s="13"/>
    </row>
    <row r="188" s="4" customFormat="1" ht="15.75">
      <c r="A188" s="13"/>
    </row>
    <row r="189" s="4" customFormat="1" ht="15.75">
      <c r="A189" s="13"/>
    </row>
    <row r="190" s="4" customFormat="1" ht="15.75">
      <c r="A190" s="13"/>
    </row>
    <row r="191" s="4" customFormat="1" ht="15.75">
      <c r="A191" s="13"/>
    </row>
    <row r="192" s="4" customFormat="1" ht="15.75">
      <c r="A192" s="13"/>
    </row>
    <row r="193" s="4" customFormat="1" ht="15.75">
      <c r="A193" s="13"/>
    </row>
    <row r="194" s="4" customFormat="1" ht="15.75">
      <c r="A194" s="13"/>
    </row>
    <row r="195" s="4" customFormat="1" ht="15.75">
      <c r="A195" s="13"/>
    </row>
    <row r="196" s="4" customFormat="1" ht="15.75">
      <c r="A196" s="13"/>
    </row>
    <row r="197" s="4" customFormat="1" ht="15.75">
      <c r="A197" s="13"/>
    </row>
    <row r="198" s="4" customFormat="1" ht="15.75">
      <c r="A198" s="13"/>
    </row>
    <row r="199" s="4" customFormat="1" ht="15.75">
      <c r="A199" s="13"/>
    </row>
    <row r="200" s="4" customFormat="1" ht="15.75">
      <c r="A200" s="13"/>
    </row>
    <row r="201" s="4" customFormat="1" ht="15.75">
      <c r="A201" s="13"/>
    </row>
    <row r="202" s="4" customFormat="1" ht="15.75">
      <c r="A202" s="13"/>
    </row>
    <row r="203" s="4" customFormat="1" ht="15.75">
      <c r="A203" s="13"/>
    </row>
    <row r="204" s="4" customFormat="1" ht="15.75">
      <c r="A204" s="13"/>
    </row>
    <row r="205" s="4" customFormat="1" ht="15.75">
      <c r="A205" s="13"/>
    </row>
    <row r="206" s="4" customFormat="1" ht="15.75">
      <c r="A206" s="13"/>
    </row>
    <row r="207" s="4" customFormat="1" ht="15.75">
      <c r="A207" s="13"/>
    </row>
    <row r="208" s="4" customFormat="1" ht="15.75">
      <c r="A208" s="13"/>
    </row>
    <row r="209" s="4" customFormat="1" ht="15.75">
      <c r="A209" s="13"/>
    </row>
    <row r="210" s="4" customFormat="1" ht="15.75">
      <c r="A210" s="13"/>
    </row>
    <row r="211" s="4" customFormat="1" ht="15.75">
      <c r="A211" s="13"/>
    </row>
    <row r="212" s="4" customFormat="1" ht="15.75">
      <c r="A212" s="13"/>
    </row>
    <row r="213" s="4" customFormat="1" ht="15.75">
      <c r="A213" s="13"/>
    </row>
    <row r="214" s="4" customFormat="1" ht="15.75">
      <c r="A214" s="13"/>
    </row>
    <row r="215" s="4" customFormat="1" ht="15.75">
      <c r="A215" s="13"/>
    </row>
    <row r="216" s="4" customFormat="1" ht="15.75">
      <c r="A216" s="13"/>
    </row>
    <row r="217" s="4" customFormat="1" ht="15.75">
      <c r="A217" s="13"/>
    </row>
    <row r="218" s="4" customFormat="1" ht="15.75">
      <c r="A218" s="13"/>
    </row>
    <row r="219" s="4" customFormat="1" ht="15.75">
      <c r="A219" s="13"/>
    </row>
    <row r="220" s="4" customFormat="1" ht="15.75">
      <c r="A220" s="13"/>
    </row>
    <row r="221" s="4" customFormat="1" ht="15.75">
      <c r="A221" s="13"/>
    </row>
    <row r="222" s="4" customFormat="1" ht="15.75">
      <c r="A222" s="13"/>
    </row>
    <row r="223" s="4" customFormat="1" ht="15.75">
      <c r="A223" s="13"/>
    </row>
    <row r="224" s="4" customFormat="1" ht="15.75">
      <c r="A224" s="13"/>
    </row>
    <row r="225" s="4" customFormat="1" ht="15.75">
      <c r="A225" s="13"/>
    </row>
    <row r="226" s="4" customFormat="1" ht="15.75">
      <c r="A226" s="13"/>
    </row>
    <row r="227" s="4" customFormat="1" ht="15.75">
      <c r="A227" s="13"/>
    </row>
    <row r="228" s="4" customFormat="1" ht="15.75">
      <c r="A228" s="13"/>
    </row>
    <row r="229" s="4" customFormat="1" ht="15.75">
      <c r="A229" s="13"/>
    </row>
    <row r="230" s="4" customFormat="1" ht="15.75">
      <c r="A230" s="13"/>
    </row>
    <row r="231" s="4" customFormat="1" ht="15.75">
      <c r="A231" s="13"/>
    </row>
    <row r="232" s="4" customFormat="1" ht="15.75">
      <c r="A232" s="13"/>
    </row>
    <row r="233" s="4" customFormat="1" ht="15.75">
      <c r="A233" s="13"/>
    </row>
    <row r="234" s="4" customFormat="1" ht="15.75">
      <c r="A234" s="13"/>
    </row>
    <row r="235" s="4" customFormat="1" ht="15.75">
      <c r="A235" s="13"/>
    </row>
    <row r="236" s="4" customFormat="1" ht="15.75">
      <c r="A236" s="13"/>
    </row>
    <row r="237" s="4" customFormat="1" ht="15.75">
      <c r="A237" s="13"/>
    </row>
    <row r="238" s="4" customFormat="1" ht="15.75">
      <c r="A238" s="13"/>
    </row>
    <row r="239" s="4" customFormat="1" ht="15.75">
      <c r="A239" s="13"/>
    </row>
    <row r="240" s="4" customFormat="1" ht="15.75">
      <c r="A240" s="13"/>
    </row>
    <row r="241" s="4" customFormat="1" ht="15.75">
      <c r="A241" s="13"/>
    </row>
    <row r="242" s="4" customFormat="1" ht="15.75">
      <c r="A242" s="13"/>
    </row>
    <row r="243" s="4" customFormat="1" ht="15.75">
      <c r="A243" s="13"/>
    </row>
    <row r="244" s="4" customFormat="1" ht="15.75">
      <c r="A244" s="13"/>
    </row>
    <row r="245" s="4" customFormat="1" ht="15.75">
      <c r="A245" s="13"/>
    </row>
    <row r="246" s="4" customFormat="1" ht="15.75">
      <c r="A246" s="13"/>
    </row>
    <row r="247" s="4" customFormat="1" ht="15.75">
      <c r="A247" s="13"/>
    </row>
    <row r="248" s="4" customFormat="1" ht="15.75">
      <c r="A248" s="13"/>
    </row>
    <row r="249" s="4" customFormat="1" ht="15.75">
      <c r="A249" s="13"/>
    </row>
    <row r="250" s="4" customFormat="1" ht="15.75">
      <c r="A250" s="13"/>
    </row>
    <row r="251" s="4" customFormat="1" ht="15.75">
      <c r="A251" s="13"/>
    </row>
    <row r="252" s="4" customFormat="1" ht="15.75">
      <c r="A252" s="13"/>
    </row>
    <row r="253" s="4" customFormat="1" ht="15.75">
      <c r="A253" s="13"/>
    </row>
    <row r="254" s="4" customFormat="1" ht="15.75">
      <c r="A254" s="13"/>
    </row>
    <row r="255" s="4" customFormat="1" ht="15.75">
      <c r="A255" s="13"/>
    </row>
    <row r="256" s="4" customFormat="1" ht="15.75">
      <c r="A256" s="13"/>
    </row>
    <row r="257" s="4" customFormat="1" ht="15.75">
      <c r="A257" s="13"/>
    </row>
    <row r="258" s="4" customFormat="1" ht="15.75">
      <c r="A258" s="13"/>
    </row>
    <row r="259" s="4" customFormat="1" ht="15.75">
      <c r="A259" s="13"/>
    </row>
    <row r="260" s="4" customFormat="1" ht="15.75">
      <c r="A260" s="13"/>
    </row>
    <row r="261" s="4" customFormat="1" ht="15.75">
      <c r="A261" s="13"/>
    </row>
    <row r="262" s="4" customFormat="1" ht="15.75">
      <c r="A262" s="13"/>
    </row>
    <row r="263" s="4" customFormat="1" ht="15.75">
      <c r="A263" s="13"/>
    </row>
    <row r="264" s="4" customFormat="1" ht="15.75">
      <c r="A264" s="13"/>
    </row>
    <row r="265" s="4" customFormat="1" ht="15.75">
      <c r="A265" s="13"/>
    </row>
    <row r="266" s="4" customFormat="1" ht="15.75">
      <c r="A266" s="13"/>
    </row>
    <row r="267" s="4" customFormat="1" ht="15.75">
      <c r="A267" s="13"/>
    </row>
    <row r="268" s="4" customFormat="1" ht="15.75">
      <c r="A268" s="13"/>
    </row>
    <row r="269" s="4" customFormat="1" ht="15.75">
      <c r="A269" s="13"/>
    </row>
    <row r="270" s="4" customFormat="1" ht="15.75">
      <c r="A270" s="13"/>
    </row>
    <row r="271" s="4" customFormat="1" ht="15.75">
      <c r="A271" s="13"/>
    </row>
    <row r="272" s="4" customFormat="1" ht="15.75">
      <c r="A272" s="13"/>
    </row>
    <row r="273" s="4" customFormat="1" ht="15.75">
      <c r="A273" s="13"/>
    </row>
    <row r="274" s="4" customFormat="1" ht="15.75">
      <c r="A274" s="13"/>
    </row>
    <row r="275" s="4" customFormat="1" ht="15.75">
      <c r="A275" s="13"/>
    </row>
    <row r="276" s="4" customFormat="1" ht="15.75">
      <c r="A276" s="13"/>
    </row>
    <row r="277" s="4" customFormat="1" ht="15.75">
      <c r="A277" s="13"/>
    </row>
    <row r="278" s="4" customFormat="1" ht="15.75">
      <c r="A278" s="13"/>
    </row>
    <row r="279" s="4" customFormat="1" ht="15.75">
      <c r="A279" s="13"/>
    </row>
    <row r="280" s="4" customFormat="1" ht="15.75">
      <c r="A280" s="13"/>
    </row>
    <row r="281" s="4" customFormat="1" ht="15.75">
      <c r="A281" s="13"/>
    </row>
    <row r="282" s="4" customFormat="1" ht="15.75">
      <c r="A282" s="13"/>
    </row>
    <row r="283" s="4" customFormat="1" ht="15.75">
      <c r="A283" s="13"/>
    </row>
    <row r="284" s="4" customFormat="1" ht="15.75">
      <c r="A284" s="13"/>
    </row>
    <row r="285" s="4" customFormat="1" ht="15.75">
      <c r="A285" s="13"/>
    </row>
    <row r="286" s="4" customFormat="1" ht="15.75">
      <c r="A286" s="13"/>
    </row>
    <row r="287" s="4" customFormat="1" ht="15.75">
      <c r="A287" s="13"/>
    </row>
    <row r="288" s="4" customFormat="1" ht="15.75">
      <c r="A288" s="13"/>
    </row>
    <row r="289" s="4" customFormat="1" ht="15.75">
      <c r="A289" s="13"/>
    </row>
    <row r="290" s="4" customFormat="1" ht="15.75">
      <c r="A290" s="13"/>
    </row>
    <row r="291" s="4" customFormat="1" ht="15.75">
      <c r="A291" s="13"/>
    </row>
    <row r="292" s="4" customFormat="1" ht="15.75">
      <c r="A292" s="13"/>
    </row>
    <row r="293" s="4" customFormat="1" ht="15.75">
      <c r="A293" s="13"/>
    </row>
    <row r="294" s="4" customFormat="1" ht="15.75">
      <c r="A294" s="13"/>
    </row>
    <row r="295" s="4" customFormat="1" ht="15.75">
      <c r="A295" s="13"/>
    </row>
    <row r="296" s="4" customFormat="1" ht="15.75">
      <c r="A296" s="13"/>
    </row>
    <row r="297" s="4" customFormat="1" ht="15.75">
      <c r="A297" s="13"/>
    </row>
    <row r="298" s="4" customFormat="1" ht="15.75">
      <c r="A298" s="13"/>
    </row>
    <row r="299" s="4" customFormat="1" ht="15.75">
      <c r="A299" s="13"/>
    </row>
    <row r="300" s="4" customFormat="1" ht="15.75">
      <c r="A300" s="13"/>
    </row>
    <row r="301" s="4" customFormat="1" ht="15.75">
      <c r="A301" s="13"/>
    </row>
    <row r="302" s="4" customFormat="1" ht="15.75">
      <c r="A302" s="13"/>
    </row>
    <row r="303" s="4" customFormat="1" ht="15.75">
      <c r="A303" s="13"/>
    </row>
    <row r="304" s="4" customFormat="1" ht="15.75">
      <c r="A304" s="13"/>
    </row>
    <row r="305" s="4" customFormat="1" ht="15.75">
      <c r="A305" s="13"/>
    </row>
    <row r="306" s="4" customFormat="1" ht="15.75">
      <c r="A306" s="13"/>
    </row>
    <row r="307" s="4" customFormat="1" ht="15.75">
      <c r="A307" s="13"/>
    </row>
    <row r="308" s="4" customFormat="1" ht="15.75">
      <c r="A308" s="13"/>
    </row>
    <row r="309" s="4" customFormat="1" ht="15.75">
      <c r="A309" s="13"/>
    </row>
    <row r="310" s="4" customFormat="1" ht="15.75">
      <c r="A310" s="13"/>
    </row>
    <row r="311" s="4" customFormat="1" ht="15.75">
      <c r="A311" s="13"/>
    </row>
    <row r="312" s="4" customFormat="1" ht="15.75">
      <c r="A312" s="13"/>
    </row>
    <row r="313" s="4" customFormat="1" ht="15.75">
      <c r="A313" s="13"/>
    </row>
    <row r="314" s="4" customFormat="1" ht="15.75">
      <c r="A314" s="13"/>
    </row>
    <row r="315" s="4" customFormat="1" ht="15.75">
      <c r="A315" s="13"/>
    </row>
    <row r="316" s="4" customFormat="1" ht="15.75">
      <c r="A316" s="13"/>
    </row>
    <row r="317" s="4" customFormat="1" ht="15.75">
      <c r="A317" s="13"/>
    </row>
    <row r="318" s="4" customFormat="1" ht="15.75">
      <c r="A318" s="13"/>
    </row>
    <row r="319" s="4" customFormat="1" ht="15.75">
      <c r="A319" s="13"/>
    </row>
    <row r="320" s="4" customFormat="1" ht="15.75">
      <c r="A320" s="13"/>
    </row>
    <row r="321" s="4" customFormat="1" ht="15.75">
      <c r="A321" s="13"/>
    </row>
    <row r="322" s="4" customFormat="1" ht="15.75">
      <c r="A322" s="13"/>
    </row>
    <row r="323" s="4" customFormat="1" ht="15.75">
      <c r="A323" s="13"/>
    </row>
    <row r="324" s="4" customFormat="1" ht="15.75">
      <c r="A324" s="13"/>
    </row>
    <row r="325" s="4" customFormat="1" ht="15.75">
      <c r="A325" s="13"/>
    </row>
    <row r="326" s="4" customFormat="1" ht="15.75">
      <c r="A326" s="13"/>
    </row>
    <row r="327" s="4" customFormat="1" ht="15.75">
      <c r="A327" s="13"/>
    </row>
    <row r="328" s="4" customFormat="1" ht="15.75">
      <c r="A328" s="13"/>
    </row>
    <row r="329" s="4" customFormat="1" ht="15.75">
      <c r="A329" s="13"/>
    </row>
    <row r="330" s="4" customFormat="1" ht="15.75">
      <c r="A330" s="13"/>
    </row>
    <row r="331" s="4" customFormat="1" ht="15.75">
      <c r="A331" s="13"/>
    </row>
    <row r="332" s="4" customFormat="1" ht="15.75">
      <c r="A332" s="13"/>
    </row>
    <row r="333" s="4" customFormat="1" ht="15.75">
      <c r="A333" s="13"/>
    </row>
    <row r="334" s="4" customFormat="1" ht="15.75">
      <c r="A334" s="13"/>
    </row>
    <row r="335" s="4" customFormat="1" ht="15.75">
      <c r="A335" s="13"/>
    </row>
    <row r="336" s="4" customFormat="1" ht="15.75">
      <c r="A336" s="13"/>
    </row>
    <row r="337" s="4" customFormat="1" ht="15.75">
      <c r="A337" s="13"/>
    </row>
    <row r="338" s="4" customFormat="1" ht="15.75">
      <c r="A338" s="13"/>
    </row>
    <row r="339" s="4" customFormat="1" ht="15.75">
      <c r="A339" s="13"/>
    </row>
    <row r="340" s="4" customFormat="1" ht="15.75">
      <c r="A340" s="13"/>
    </row>
    <row r="341" s="4" customFormat="1" ht="15.75">
      <c r="A341" s="13"/>
    </row>
    <row r="342" s="4" customFormat="1" ht="15.75">
      <c r="A342" s="13"/>
    </row>
    <row r="343" s="4" customFormat="1" ht="15.75">
      <c r="A343" s="13"/>
    </row>
    <row r="344" s="4" customFormat="1" ht="15.75">
      <c r="A344" s="13"/>
    </row>
    <row r="345" s="4" customFormat="1" ht="15.75">
      <c r="A345" s="13"/>
    </row>
    <row r="346" s="4" customFormat="1" ht="15.75">
      <c r="A346" s="13"/>
    </row>
    <row r="347" s="4" customFormat="1" ht="15.75">
      <c r="A347" s="13"/>
    </row>
    <row r="348" s="4" customFormat="1" ht="15.75">
      <c r="A348" s="13"/>
    </row>
    <row r="349" s="4" customFormat="1" ht="15.75">
      <c r="A349" s="13"/>
    </row>
    <row r="350" s="4" customFormat="1" ht="15.75">
      <c r="A350" s="13"/>
    </row>
    <row r="351" s="4" customFormat="1" ht="15.75">
      <c r="A351" s="13"/>
    </row>
    <row r="352" s="4" customFormat="1" ht="15.75">
      <c r="A352" s="13"/>
    </row>
    <row r="353" s="4" customFormat="1" ht="15.75">
      <c r="A353" s="13"/>
    </row>
    <row r="354" s="4" customFormat="1" ht="15.75">
      <c r="A354" s="13"/>
    </row>
    <row r="355" s="4" customFormat="1" ht="15.75">
      <c r="A355" s="13"/>
    </row>
    <row r="356" s="4" customFormat="1" ht="15.75">
      <c r="A356" s="13"/>
    </row>
    <row r="357" s="4" customFormat="1" ht="15.75">
      <c r="A357" s="13"/>
    </row>
    <row r="358" s="4" customFormat="1" ht="15.75">
      <c r="A358" s="13"/>
    </row>
    <row r="359" s="4" customFormat="1" ht="15.75">
      <c r="A359" s="13"/>
    </row>
    <row r="360" s="4" customFormat="1" ht="15.75">
      <c r="A360" s="13"/>
    </row>
    <row r="361" s="4" customFormat="1" ht="15.75">
      <c r="A361" s="13"/>
    </row>
    <row r="362" s="4" customFormat="1" ht="15.75">
      <c r="A362" s="13"/>
    </row>
    <row r="363" s="4" customFormat="1" ht="15.75">
      <c r="A363" s="13"/>
    </row>
    <row r="364" s="4" customFormat="1" ht="15.75">
      <c r="A364" s="13"/>
    </row>
    <row r="365" s="4" customFormat="1" ht="15.75">
      <c r="A365" s="13"/>
    </row>
    <row r="366" s="4" customFormat="1" ht="15.75">
      <c r="A366" s="13"/>
    </row>
    <row r="367" s="4" customFormat="1" ht="15.75">
      <c r="A367" s="13"/>
    </row>
    <row r="368" s="4" customFormat="1" ht="15.75">
      <c r="A368" s="13"/>
    </row>
    <row r="369" s="4" customFormat="1" ht="15.75">
      <c r="A369" s="13"/>
    </row>
    <row r="370" s="4" customFormat="1" ht="15.75">
      <c r="A370" s="13"/>
    </row>
    <row r="371" s="4" customFormat="1" ht="15.75">
      <c r="A371" s="13"/>
    </row>
    <row r="372" s="4" customFormat="1" ht="15.75">
      <c r="A372" s="13"/>
    </row>
    <row r="373" s="4" customFormat="1" ht="15.75">
      <c r="A373" s="13"/>
    </row>
    <row r="374" s="4" customFormat="1" ht="15.75">
      <c r="A374" s="13"/>
    </row>
    <row r="375" s="4" customFormat="1" ht="15.75">
      <c r="A375" s="13"/>
    </row>
    <row r="376" s="4" customFormat="1" ht="15.75">
      <c r="A376" s="13"/>
    </row>
    <row r="377" s="4" customFormat="1" ht="15.75">
      <c r="A377" s="13"/>
    </row>
    <row r="378" s="4" customFormat="1" ht="15.75">
      <c r="A378" s="13"/>
    </row>
    <row r="379" s="4" customFormat="1" ht="15.75">
      <c r="A379" s="13"/>
    </row>
    <row r="380" s="4" customFormat="1" ht="15.75">
      <c r="A380" s="13"/>
    </row>
    <row r="381" s="4" customFormat="1" ht="15.75">
      <c r="A381" s="13"/>
    </row>
    <row r="382" s="4" customFormat="1" ht="15.75">
      <c r="A382" s="13"/>
    </row>
    <row r="383" s="4" customFormat="1" ht="15.75">
      <c r="A383" s="13"/>
    </row>
    <row r="384" s="4" customFormat="1" ht="15.75">
      <c r="A384" s="13"/>
    </row>
    <row r="385" s="4" customFormat="1" ht="15.75">
      <c r="A385" s="13"/>
    </row>
    <row r="386" s="4" customFormat="1" ht="15.75">
      <c r="A386" s="13"/>
    </row>
    <row r="387" s="4" customFormat="1" ht="15.75">
      <c r="A387" s="13"/>
    </row>
    <row r="388" s="4" customFormat="1" ht="15.75">
      <c r="A388" s="13"/>
    </row>
    <row r="389" s="4" customFormat="1" ht="15.75">
      <c r="A389" s="13"/>
    </row>
    <row r="390" s="4" customFormat="1" ht="15.75">
      <c r="A390" s="13"/>
    </row>
    <row r="391" s="4" customFormat="1" ht="15.75">
      <c r="A391" s="13"/>
    </row>
    <row r="392" s="4" customFormat="1" ht="15.75">
      <c r="A392" s="13"/>
    </row>
    <row r="393" s="4" customFormat="1" ht="15.75">
      <c r="A393" s="13"/>
    </row>
    <row r="394" s="4" customFormat="1" ht="15.75">
      <c r="A394" s="13"/>
    </row>
    <row r="395" s="4" customFormat="1" ht="15.75">
      <c r="A395" s="13"/>
    </row>
    <row r="396" s="4" customFormat="1" ht="15.75">
      <c r="A396" s="13"/>
    </row>
    <row r="397" s="4" customFormat="1" ht="15.75">
      <c r="A397" s="13"/>
    </row>
    <row r="398" s="4" customFormat="1" ht="15.75">
      <c r="A398" s="13"/>
    </row>
    <row r="399" s="4" customFormat="1" ht="15.75">
      <c r="A399" s="13"/>
    </row>
    <row r="400" s="4" customFormat="1" ht="15.75">
      <c r="A400" s="13"/>
    </row>
    <row r="401" s="4" customFormat="1" ht="15.75">
      <c r="A401" s="13"/>
    </row>
    <row r="402" s="4" customFormat="1" ht="15.75">
      <c r="A402" s="13"/>
    </row>
    <row r="403" s="4" customFormat="1" ht="15.75">
      <c r="A403" s="13"/>
    </row>
    <row r="404" s="4" customFormat="1" ht="15.75">
      <c r="A404" s="13"/>
    </row>
    <row r="405" s="4" customFormat="1" ht="15.75">
      <c r="A405" s="13"/>
    </row>
    <row r="406" s="4" customFormat="1" ht="15.75">
      <c r="A406" s="13"/>
    </row>
    <row r="407" s="4" customFormat="1" ht="15.75">
      <c r="A407" s="13"/>
    </row>
    <row r="408" s="4" customFormat="1" ht="15.75">
      <c r="A408" s="13"/>
    </row>
    <row r="409" s="4" customFormat="1" ht="15.75">
      <c r="A409" s="13"/>
    </row>
    <row r="410" s="4" customFormat="1" ht="15.75">
      <c r="A410" s="13"/>
    </row>
    <row r="411" s="4" customFormat="1" ht="15.75">
      <c r="A411" s="13"/>
    </row>
    <row r="412" s="4" customFormat="1" ht="15.75">
      <c r="A412" s="13"/>
    </row>
    <row r="413" s="4" customFormat="1" ht="15.75">
      <c r="A413" s="13"/>
    </row>
    <row r="414" s="4" customFormat="1" ht="15.75">
      <c r="A414" s="13"/>
    </row>
    <row r="415" s="4" customFormat="1" ht="15.75">
      <c r="A415" s="13"/>
    </row>
    <row r="416" s="4" customFormat="1" ht="15.75">
      <c r="A416" s="13"/>
    </row>
    <row r="417" s="4" customFormat="1" ht="15.75">
      <c r="A417" s="13"/>
    </row>
    <row r="418" s="4" customFormat="1" ht="15.75">
      <c r="A418" s="13"/>
    </row>
    <row r="419" s="4" customFormat="1" ht="15.75">
      <c r="A419" s="13"/>
    </row>
    <row r="420" s="4" customFormat="1" ht="15.75">
      <c r="A420" s="13"/>
    </row>
    <row r="421" s="4" customFormat="1" ht="15.75">
      <c r="A421" s="13"/>
    </row>
    <row r="422" s="4" customFormat="1" ht="15.75">
      <c r="A422" s="13"/>
    </row>
    <row r="423" s="4" customFormat="1" ht="15.75">
      <c r="A423" s="13"/>
    </row>
    <row r="424" s="4" customFormat="1" ht="15.75">
      <c r="A424" s="13"/>
    </row>
    <row r="425" s="4" customFormat="1" ht="15.75">
      <c r="A425" s="13"/>
    </row>
    <row r="426" s="4" customFormat="1" ht="15.75">
      <c r="A426" s="13"/>
    </row>
    <row r="427" s="4" customFormat="1" ht="15.75">
      <c r="A427" s="13"/>
    </row>
    <row r="428" s="4" customFormat="1" ht="15.75">
      <c r="A428" s="13"/>
    </row>
    <row r="429" s="4" customFormat="1" ht="15.75">
      <c r="A429" s="13"/>
    </row>
    <row r="430" s="4" customFormat="1" ht="15.75">
      <c r="A430" s="13"/>
    </row>
    <row r="431" s="4" customFormat="1" ht="15.75">
      <c r="A431" s="13"/>
    </row>
    <row r="432" s="4" customFormat="1" ht="15.75">
      <c r="A432" s="13"/>
    </row>
    <row r="433" s="4" customFormat="1" ht="15.75">
      <c r="A433" s="13"/>
    </row>
    <row r="434" s="4" customFormat="1" ht="15.75">
      <c r="A434" s="13"/>
    </row>
    <row r="435" s="4" customFormat="1" ht="15.75">
      <c r="A435" s="13"/>
    </row>
    <row r="436" s="4" customFormat="1" ht="15.75">
      <c r="A436" s="13"/>
    </row>
    <row r="437" s="4" customFormat="1" ht="15.75">
      <c r="A437" s="13"/>
    </row>
    <row r="438" s="4" customFormat="1" ht="15.75">
      <c r="A438" s="13"/>
    </row>
    <row r="439" s="4" customFormat="1" ht="15.75">
      <c r="A439" s="13"/>
    </row>
    <row r="440" s="4" customFormat="1" ht="15.75">
      <c r="A440" s="13"/>
    </row>
    <row r="441" s="4" customFormat="1" ht="15.75">
      <c r="A441" s="13"/>
    </row>
    <row r="442" s="4" customFormat="1" ht="15.75">
      <c r="A442" s="13"/>
    </row>
    <row r="443" s="4" customFormat="1" ht="15.75">
      <c r="A443" s="13"/>
    </row>
    <row r="444" s="4" customFormat="1" ht="15.75">
      <c r="A444" s="13"/>
    </row>
    <row r="445" s="4" customFormat="1" ht="15.75">
      <c r="A445" s="13"/>
    </row>
    <row r="446" s="4" customFormat="1" ht="15.75">
      <c r="A446" s="13"/>
    </row>
    <row r="447" s="4" customFormat="1" ht="15.75">
      <c r="A447" s="13"/>
    </row>
    <row r="448" s="4" customFormat="1" ht="15.75">
      <c r="A448" s="13"/>
    </row>
    <row r="449" s="4" customFormat="1" ht="15.75">
      <c r="A449" s="13"/>
    </row>
    <row r="450" s="4" customFormat="1" ht="15.75">
      <c r="A450" s="13"/>
    </row>
    <row r="451" s="4" customFormat="1" ht="15.75">
      <c r="A451" s="13"/>
    </row>
    <row r="452" s="4" customFormat="1" ht="15.75">
      <c r="A452" s="13"/>
    </row>
    <row r="453" s="4" customFormat="1" ht="15.75">
      <c r="A453" s="13"/>
    </row>
    <row r="454" s="4" customFormat="1" ht="15.75">
      <c r="A454" s="13"/>
    </row>
    <row r="455" s="4" customFormat="1" ht="15.75">
      <c r="A455" s="13"/>
    </row>
    <row r="456" s="4" customFormat="1" ht="15.75">
      <c r="A456" s="13"/>
    </row>
    <row r="457" s="4" customFormat="1" ht="15.75">
      <c r="A457" s="13"/>
    </row>
    <row r="458" s="4" customFormat="1" ht="15.75">
      <c r="A458" s="13"/>
    </row>
    <row r="459" s="4" customFormat="1" ht="15.75">
      <c r="A459" s="13"/>
    </row>
    <row r="460" s="4" customFormat="1" ht="15.75">
      <c r="A460" s="13"/>
    </row>
    <row r="461" s="4" customFormat="1" ht="15.75">
      <c r="A461" s="13"/>
    </row>
    <row r="462" s="4" customFormat="1" ht="15.75">
      <c r="A462" s="13"/>
    </row>
    <row r="463" s="4" customFormat="1" ht="15.75">
      <c r="A463" s="13"/>
    </row>
    <row r="464" s="4" customFormat="1" ht="15.75">
      <c r="A464" s="13"/>
    </row>
    <row r="465" s="4" customFormat="1" ht="15.75">
      <c r="A465" s="13"/>
    </row>
    <row r="466" s="4" customFormat="1" ht="15.75">
      <c r="A466" s="13"/>
    </row>
    <row r="467" s="4" customFormat="1" ht="15.75">
      <c r="A467" s="13"/>
    </row>
    <row r="468" s="4" customFormat="1" ht="15.75">
      <c r="A468" s="13"/>
    </row>
    <row r="469" s="4" customFormat="1" ht="15.75">
      <c r="A469" s="13"/>
    </row>
    <row r="470" s="4" customFormat="1" ht="15.75">
      <c r="A470" s="13"/>
    </row>
    <row r="471" s="4" customFormat="1" ht="15.75">
      <c r="A471" s="13"/>
    </row>
    <row r="472" s="4" customFormat="1" ht="15.75">
      <c r="A472" s="13"/>
    </row>
    <row r="473" s="4" customFormat="1" ht="15.75">
      <c r="A473" s="13"/>
    </row>
    <row r="474" s="4" customFormat="1" ht="15.75">
      <c r="A474" s="13"/>
    </row>
    <row r="475" s="4" customFormat="1" ht="15.75">
      <c r="A475" s="13"/>
    </row>
    <row r="476" s="4" customFormat="1" ht="15.75">
      <c r="A476" s="13"/>
    </row>
    <row r="477" s="4" customFormat="1" ht="15.75">
      <c r="A477" s="13"/>
    </row>
    <row r="478" s="4" customFormat="1" ht="15.75">
      <c r="A478" s="13"/>
    </row>
    <row r="479" s="4" customFormat="1" ht="15.75">
      <c r="A479" s="13"/>
    </row>
    <row r="480" s="4" customFormat="1" ht="15.75">
      <c r="A480" s="13"/>
    </row>
    <row r="481" s="4" customFormat="1" ht="15.75">
      <c r="A481" s="13"/>
    </row>
    <row r="482" s="4" customFormat="1" ht="15.75">
      <c r="A482" s="13"/>
    </row>
    <row r="483" s="4" customFormat="1" ht="15.75">
      <c r="A483" s="13"/>
    </row>
    <row r="484" s="4" customFormat="1" ht="15.75">
      <c r="A484" s="13"/>
    </row>
    <row r="485" s="4" customFormat="1" ht="15.75">
      <c r="A485" s="13"/>
    </row>
    <row r="486" s="4" customFormat="1" ht="15.75">
      <c r="A486" s="13"/>
    </row>
    <row r="487" s="4" customFormat="1" ht="15.75">
      <c r="A487" s="13"/>
    </row>
    <row r="488" s="4" customFormat="1" ht="15.75">
      <c r="A488" s="13"/>
    </row>
    <row r="489" s="4" customFormat="1" ht="15.75">
      <c r="A489" s="13"/>
    </row>
    <row r="490" s="4" customFormat="1" ht="15.75">
      <c r="A490" s="13"/>
    </row>
    <row r="491" s="4" customFormat="1" ht="15.75">
      <c r="A491" s="13"/>
    </row>
    <row r="492" s="4" customFormat="1" ht="15.75">
      <c r="A492" s="13"/>
    </row>
    <row r="493" s="4" customFormat="1" ht="15.75">
      <c r="A493" s="13"/>
    </row>
    <row r="494" s="4" customFormat="1" ht="15.75">
      <c r="A494" s="13"/>
    </row>
    <row r="495" s="4" customFormat="1" ht="15.75">
      <c r="A495" s="13"/>
    </row>
    <row r="496" s="4" customFormat="1" ht="15.75">
      <c r="A496" s="13"/>
    </row>
    <row r="497" s="4" customFormat="1" ht="15.75">
      <c r="A497" s="13"/>
    </row>
    <row r="498" s="4" customFormat="1" ht="15.75">
      <c r="A498" s="13"/>
    </row>
    <row r="499" s="4" customFormat="1" ht="15.75">
      <c r="A499" s="13"/>
    </row>
    <row r="500" s="4" customFormat="1" ht="15.75">
      <c r="A500" s="13"/>
    </row>
    <row r="501" s="4" customFormat="1" ht="15.75">
      <c r="A501" s="13"/>
    </row>
    <row r="502" s="4" customFormat="1" ht="15.75">
      <c r="A502" s="13"/>
    </row>
    <row r="503" s="4" customFormat="1" ht="15.75">
      <c r="A503" s="13"/>
    </row>
    <row r="504" s="4" customFormat="1" ht="15.75">
      <c r="A504" s="13"/>
    </row>
    <row r="505" s="4" customFormat="1" ht="15.75">
      <c r="A505" s="13"/>
    </row>
    <row r="506" s="4" customFormat="1" ht="15.75">
      <c r="A506" s="13"/>
    </row>
    <row r="507" s="4" customFormat="1" ht="15.75">
      <c r="A507" s="13"/>
    </row>
    <row r="508" s="4" customFormat="1" ht="15.75">
      <c r="A508" s="13"/>
    </row>
    <row r="509" s="4" customFormat="1" ht="15.75">
      <c r="A509" s="13"/>
    </row>
    <row r="510" s="4" customFormat="1" ht="15.75">
      <c r="A510" s="13"/>
    </row>
    <row r="511" s="4" customFormat="1" ht="15.75">
      <c r="A511" s="13"/>
    </row>
    <row r="512" s="4" customFormat="1" ht="15.75">
      <c r="A512" s="13"/>
    </row>
    <row r="513" s="4" customFormat="1" ht="15.75">
      <c r="A513" s="13"/>
    </row>
    <row r="514" s="4" customFormat="1" ht="15.75">
      <c r="A514" s="13"/>
    </row>
    <row r="515" s="4" customFormat="1" ht="15.75">
      <c r="A515" s="13"/>
    </row>
    <row r="516" s="4" customFormat="1" ht="15.75">
      <c r="A516" s="13"/>
    </row>
    <row r="517" s="4" customFormat="1" ht="15.75">
      <c r="A517" s="13"/>
    </row>
    <row r="518" s="4" customFormat="1" ht="15.75">
      <c r="A518" s="13"/>
    </row>
    <row r="519" s="4" customFormat="1" ht="15.75">
      <c r="A519" s="13"/>
    </row>
    <row r="520" s="4" customFormat="1" ht="15.75">
      <c r="A520" s="13"/>
    </row>
    <row r="521" s="4" customFormat="1" ht="15.75">
      <c r="A521" s="13"/>
    </row>
    <row r="522" s="4" customFormat="1" ht="15.75">
      <c r="A522" s="13"/>
    </row>
    <row r="523" s="4" customFormat="1" ht="15.75">
      <c r="A523" s="13"/>
    </row>
    <row r="524" s="4" customFormat="1" ht="15.75">
      <c r="A524" s="13"/>
    </row>
    <row r="525" s="4" customFormat="1" ht="15.75">
      <c r="A525" s="13"/>
    </row>
    <row r="526" s="4" customFormat="1" ht="15.75">
      <c r="A526" s="13"/>
    </row>
    <row r="527" s="4" customFormat="1" ht="15.75">
      <c r="A527" s="13"/>
    </row>
    <row r="528" s="4" customFormat="1" ht="15.75">
      <c r="A528" s="13"/>
    </row>
    <row r="529" s="4" customFormat="1" ht="15.75">
      <c r="A529" s="13"/>
    </row>
    <row r="530" s="4" customFormat="1" ht="15.75">
      <c r="A530" s="13"/>
    </row>
    <row r="531" s="4" customFormat="1" ht="15.75">
      <c r="A531" s="13"/>
    </row>
    <row r="532" s="4" customFormat="1" ht="15.75">
      <c r="A532" s="13"/>
    </row>
    <row r="533" s="4" customFormat="1" ht="15.75">
      <c r="A533" s="13"/>
    </row>
    <row r="534" s="4" customFormat="1" ht="15.75">
      <c r="A534" s="13"/>
    </row>
    <row r="535" s="4" customFormat="1" ht="15.75">
      <c r="A535" s="13"/>
    </row>
    <row r="536" s="4" customFormat="1" ht="15.75">
      <c r="A536" s="13"/>
    </row>
    <row r="537" s="4" customFormat="1" ht="15.75">
      <c r="A537" s="13"/>
    </row>
    <row r="538" s="4" customFormat="1" ht="15.75">
      <c r="A538" s="13"/>
    </row>
    <row r="539" s="4" customFormat="1" ht="15.75">
      <c r="A539" s="13"/>
    </row>
    <row r="540" s="4" customFormat="1" ht="15.75">
      <c r="A540" s="13"/>
    </row>
    <row r="541" s="4" customFormat="1" ht="15.75">
      <c r="A541" s="13"/>
    </row>
    <row r="542" s="4" customFormat="1" ht="15.75">
      <c r="A542" s="13"/>
    </row>
    <row r="543" s="4" customFormat="1" ht="15.75">
      <c r="A543" s="13"/>
    </row>
    <row r="544" s="4" customFormat="1" ht="15.75">
      <c r="A544" s="13"/>
    </row>
    <row r="545" s="4" customFormat="1" ht="15.75">
      <c r="A545" s="13"/>
    </row>
    <row r="546" s="4" customFormat="1" ht="15.75">
      <c r="A546" s="13"/>
    </row>
    <row r="547" s="4" customFormat="1" ht="15.75">
      <c r="A547" s="13"/>
    </row>
    <row r="548" s="4" customFormat="1" ht="15.75">
      <c r="A548" s="13"/>
    </row>
    <row r="549" s="4" customFormat="1" ht="15.75">
      <c r="A549" s="13"/>
    </row>
    <row r="550" s="4" customFormat="1" ht="15.75">
      <c r="A550" s="13"/>
    </row>
    <row r="551" s="4" customFormat="1" ht="15.75">
      <c r="A551" s="13"/>
    </row>
    <row r="552" s="4" customFormat="1" ht="15.75">
      <c r="A552" s="13"/>
    </row>
    <row r="553" s="4" customFormat="1" ht="15.75">
      <c r="A553" s="13"/>
    </row>
    <row r="554" s="4" customFormat="1" ht="15.75">
      <c r="A554" s="13"/>
    </row>
    <row r="555" s="4" customFormat="1" ht="15.75">
      <c r="A555" s="13"/>
    </row>
    <row r="556" s="4" customFormat="1" ht="15.75">
      <c r="A556" s="13"/>
    </row>
    <row r="557" s="4" customFormat="1" ht="15.75">
      <c r="A557" s="13"/>
    </row>
    <row r="558" s="4" customFormat="1" ht="15.75">
      <c r="A558" s="13"/>
    </row>
    <row r="559" s="4" customFormat="1" ht="15.75">
      <c r="A559" s="13"/>
    </row>
    <row r="560" s="4" customFormat="1" ht="15.75">
      <c r="A560" s="13"/>
    </row>
    <row r="561" s="4" customFormat="1" ht="15.75">
      <c r="A561" s="13"/>
    </row>
    <row r="562" s="4" customFormat="1" ht="15.75">
      <c r="A562" s="13"/>
    </row>
    <row r="563" s="4" customFormat="1" ht="15.75">
      <c r="A563" s="13"/>
    </row>
    <row r="564" s="4" customFormat="1" ht="15.75">
      <c r="A564" s="13"/>
    </row>
    <row r="565" s="4" customFormat="1" ht="15.75">
      <c r="A565" s="13"/>
    </row>
    <row r="566" s="4" customFormat="1" ht="15.75">
      <c r="A566" s="13"/>
    </row>
    <row r="567" s="4" customFormat="1" ht="15.75">
      <c r="A567" s="13"/>
    </row>
    <row r="568" s="4" customFormat="1" ht="15.75">
      <c r="A568" s="13"/>
    </row>
    <row r="569" s="4" customFormat="1" ht="15.75">
      <c r="A569" s="13"/>
    </row>
    <row r="570" s="4" customFormat="1" ht="15.75">
      <c r="A570" s="13"/>
    </row>
    <row r="571" s="4" customFormat="1" ht="15.75">
      <c r="A571" s="13"/>
    </row>
    <row r="572" s="4" customFormat="1" ht="15.75">
      <c r="A572" s="13"/>
    </row>
    <row r="573" s="4" customFormat="1" ht="15.75">
      <c r="A573" s="13"/>
    </row>
    <row r="574" s="4" customFormat="1" ht="15.75">
      <c r="A574" s="13"/>
    </row>
    <row r="575" s="4" customFormat="1" ht="15.75">
      <c r="A575" s="13"/>
    </row>
    <row r="576" s="4" customFormat="1" ht="15.75">
      <c r="A576" s="13"/>
    </row>
    <row r="577" s="4" customFormat="1" ht="15.75">
      <c r="A577" s="13"/>
    </row>
    <row r="578" s="4" customFormat="1" ht="15.75">
      <c r="A578" s="13"/>
    </row>
    <row r="579" s="4" customFormat="1" ht="15.75">
      <c r="A579" s="13"/>
    </row>
    <row r="580" s="4" customFormat="1" ht="15.75">
      <c r="A580" s="13"/>
    </row>
    <row r="581" s="4" customFormat="1" ht="15.75">
      <c r="A581" s="13"/>
    </row>
    <row r="582" s="4" customFormat="1" ht="15.75">
      <c r="A582" s="13"/>
    </row>
    <row r="583" s="4" customFormat="1" ht="15.75">
      <c r="A583" s="13"/>
    </row>
    <row r="584" s="4" customFormat="1" ht="15.75">
      <c r="A584" s="13"/>
    </row>
    <row r="585" s="4" customFormat="1" ht="15.75">
      <c r="A585" s="13"/>
    </row>
    <row r="586" s="4" customFormat="1" ht="15.75">
      <c r="A586" s="13"/>
    </row>
    <row r="587" s="4" customFormat="1" ht="15.75">
      <c r="A587" s="13"/>
    </row>
    <row r="588" s="4" customFormat="1" ht="15.75">
      <c r="A588" s="13"/>
    </row>
    <row r="589" s="4" customFormat="1" ht="15.75">
      <c r="A589" s="13"/>
    </row>
    <row r="590" s="4" customFormat="1" ht="15.75">
      <c r="A590" s="13"/>
    </row>
    <row r="591" s="4" customFormat="1" ht="15.75">
      <c r="A591" s="13"/>
    </row>
    <row r="592" s="4" customFormat="1" ht="15.75">
      <c r="A592" s="13"/>
    </row>
    <row r="593" s="4" customFormat="1" ht="15.75">
      <c r="A593" s="13"/>
    </row>
    <row r="594" s="4" customFormat="1" ht="15.75">
      <c r="A594" s="13"/>
    </row>
    <row r="595" s="4" customFormat="1" ht="15.75">
      <c r="A595" s="13"/>
    </row>
    <row r="596" s="4" customFormat="1" ht="15.75">
      <c r="A596" s="13"/>
    </row>
    <row r="597" s="4" customFormat="1" ht="15.75">
      <c r="A597" s="13"/>
    </row>
    <row r="598" s="4" customFormat="1" ht="15.75">
      <c r="A598" s="13"/>
    </row>
    <row r="599" s="4" customFormat="1" ht="15.75">
      <c r="A599" s="13"/>
    </row>
    <row r="600" s="4" customFormat="1" ht="15.75">
      <c r="A600" s="13"/>
    </row>
    <row r="601" s="4" customFormat="1" ht="15.75">
      <c r="A601" s="13"/>
    </row>
    <row r="602" s="4" customFormat="1" ht="15.75">
      <c r="A602" s="13"/>
    </row>
    <row r="603" s="4" customFormat="1" ht="15.75">
      <c r="A603" s="13"/>
    </row>
    <row r="604" s="4" customFormat="1" ht="15.75">
      <c r="A604" s="13"/>
    </row>
    <row r="605" s="4" customFormat="1" ht="15.75">
      <c r="A605" s="13"/>
    </row>
    <row r="606" s="4" customFormat="1" ht="15.75">
      <c r="A606" s="13"/>
    </row>
    <row r="607" s="4" customFormat="1" ht="15.75">
      <c r="A607" s="13"/>
    </row>
    <row r="608" s="4" customFormat="1" ht="15.75">
      <c r="A608" s="13"/>
    </row>
    <row r="609" s="4" customFormat="1" ht="15.75">
      <c r="A609" s="13"/>
    </row>
    <row r="610" s="4" customFormat="1" ht="15.75">
      <c r="A610" s="13"/>
    </row>
    <row r="611" s="4" customFormat="1" ht="15.75">
      <c r="A611" s="13"/>
    </row>
    <row r="612" s="4" customFormat="1" ht="15.75">
      <c r="A612" s="13"/>
    </row>
    <row r="613" s="4" customFormat="1" ht="15.75">
      <c r="A613" s="13"/>
    </row>
    <row r="614" s="4" customFormat="1" ht="15.75">
      <c r="A614" s="13"/>
    </row>
    <row r="615" s="4" customFormat="1" ht="15.75">
      <c r="A615" s="13"/>
    </row>
    <row r="616" s="4" customFormat="1" ht="15.75">
      <c r="A616" s="13"/>
    </row>
    <row r="617" s="4" customFormat="1" ht="15.75">
      <c r="A617" s="13"/>
    </row>
    <row r="618" s="4" customFormat="1" ht="15.75">
      <c r="A618" s="13"/>
    </row>
    <row r="619" s="4" customFormat="1" ht="15.75">
      <c r="A619" s="13"/>
    </row>
    <row r="620" s="4" customFormat="1" ht="15.75">
      <c r="A620" s="13"/>
    </row>
    <row r="621" s="4" customFormat="1" ht="15.75">
      <c r="A621" s="13"/>
    </row>
    <row r="622" s="4" customFormat="1" ht="15.75">
      <c r="A622" s="13"/>
    </row>
    <row r="623" s="4" customFormat="1" ht="15.75">
      <c r="A623" s="13"/>
    </row>
    <row r="624" s="4" customFormat="1" ht="15.75">
      <c r="A624" s="13"/>
    </row>
    <row r="625" s="4" customFormat="1" ht="15.75">
      <c r="A625" s="13"/>
    </row>
    <row r="626" s="4" customFormat="1" ht="15.75">
      <c r="A626" s="13"/>
    </row>
    <row r="627" s="4" customFormat="1" ht="15.75">
      <c r="A627" s="13"/>
    </row>
    <row r="628" s="4" customFormat="1" ht="15.75">
      <c r="A628" s="13"/>
    </row>
    <row r="629" s="4" customFormat="1" ht="15.75">
      <c r="A629" s="13"/>
    </row>
    <row r="630" s="4" customFormat="1" ht="15.75">
      <c r="A630" s="13"/>
    </row>
    <row r="631" s="4" customFormat="1" ht="15.75">
      <c r="A631" s="13"/>
    </row>
    <row r="632" s="4" customFormat="1" ht="15.75">
      <c r="A632" s="13"/>
    </row>
    <row r="633" s="4" customFormat="1" ht="15.75">
      <c r="A633" s="13"/>
    </row>
    <row r="634" s="4" customFormat="1" ht="15.75">
      <c r="A634" s="13"/>
    </row>
    <row r="635" s="4" customFormat="1" ht="15.75">
      <c r="A635" s="13"/>
    </row>
    <row r="636" s="4" customFormat="1" ht="15.75">
      <c r="A636" s="13"/>
    </row>
    <row r="637" s="4" customFormat="1" ht="15.75">
      <c r="A637" s="13"/>
    </row>
    <row r="638" s="4" customFormat="1" ht="15.75">
      <c r="A638" s="13"/>
    </row>
    <row r="639" s="4" customFormat="1" ht="15.75">
      <c r="A639" s="13"/>
    </row>
    <row r="640" s="4" customFormat="1" ht="15.75">
      <c r="A640" s="13"/>
    </row>
    <row r="641" s="4" customFormat="1" ht="15.75">
      <c r="A641" s="13"/>
    </row>
    <row r="642" s="4" customFormat="1" ht="15.75">
      <c r="A642" s="13"/>
    </row>
    <row r="643" s="4" customFormat="1" ht="15.75">
      <c r="A643" s="13"/>
    </row>
    <row r="644" s="4" customFormat="1" ht="15.75">
      <c r="A644" s="13"/>
    </row>
    <row r="645" s="4" customFormat="1" ht="15.75">
      <c r="A645" s="13"/>
    </row>
    <row r="646" s="4" customFormat="1" ht="15.75">
      <c r="A646" s="13"/>
    </row>
    <row r="647" s="4" customFormat="1" ht="15.75">
      <c r="A647" s="13"/>
    </row>
    <row r="648" s="4" customFormat="1" ht="15.75">
      <c r="A648" s="13"/>
    </row>
    <row r="649" s="4" customFormat="1" ht="15.75">
      <c r="A649" s="13"/>
    </row>
    <row r="650" s="4" customFormat="1" ht="15.75">
      <c r="A650" s="13"/>
    </row>
    <row r="651" s="4" customFormat="1" ht="15.75">
      <c r="A651" s="13"/>
    </row>
    <row r="652" s="4" customFormat="1" ht="15.75">
      <c r="A652" s="13"/>
    </row>
    <row r="653" s="4" customFormat="1" ht="15.75">
      <c r="A653" s="13"/>
    </row>
    <row r="654" s="4" customFormat="1" ht="15.75">
      <c r="A654" s="13"/>
    </row>
    <row r="655" s="4" customFormat="1" ht="15.75">
      <c r="A655" s="13"/>
    </row>
    <row r="656" s="4" customFormat="1" ht="15.75">
      <c r="A656" s="13"/>
    </row>
    <row r="657" s="4" customFormat="1" ht="15.75">
      <c r="A657" s="13"/>
    </row>
    <row r="658" s="4" customFormat="1" ht="15.75">
      <c r="A658" s="13"/>
    </row>
    <row r="659" s="4" customFormat="1" ht="15.75">
      <c r="A659" s="13"/>
    </row>
    <row r="660" s="4" customFormat="1" ht="15.75">
      <c r="A660" s="13"/>
    </row>
    <row r="661" s="4" customFormat="1" ht="15.75">
      <c r="A661" s="13"/>
    </row>
    <row r="662" s="4" customFormat="1" ht="15.75">
      <c r="A662" s="13"/>
    </row>
    <row r="663" s="4" customFormat="1" ht="15.75">
      <c r="A663" s="13"/>
    </row>
    <row r="664" s="4" customFormat="1" ht="15.75">
      <c r="A664" s="13"/>
    </row>
    <row r="665" s="4" customFormat="1" ht="15.75">
      <c r="A665" s="13"/>
    </row>
    <row r="666" s="4" customFormat="1" ht="15.75">
      <c r="A666" s="13"/>
    </row>
    <row r="667" s="4" customFormat="1" ht="15.75">
      <c r="A667" s="13"/>
    </row>
    <row r="668" s="4" customFormat="1" ht="15.75">
      <c r="A668" s="13"/>
    </row>
    <row r="669" s="4" customFormat="1" ht="15.75">
      <c r="A669" s="13"/>
    </row>
    <row r="670" s="4" customFormat="1" ht="15.75">
      <c r="A670" s="13"/>
    </row>
    <row r="671" s="4" customFormat="1" ht="15.75">
      <c r="A671" s="13"/>
    </row>
    <row r="672" s="4" customFormat="1" ht="15.75">
      <c r="A672" s="13"/>
    </row>
    <row r="673" s="4" customFormat="1" ht="15.75">
      <c r="A673" s="13"/>
    </row>
    <row r="674" s="4" customFormat="1" ht="15.75">
      <c r="A674" s="13"/>
    </row>
    <row r="675" s="4" customFormat="1" ht="15.75">
      <c r="A675" s="13"/>
    </row>
    <row r="676" s="4" customFormat="1" ht="15.75">
      <c r="A676" s="13"/>
    </row>
    <row r="677" s="4" customFormat="1" ht="15.75">
      <c r="A677" s="13"/>
    </row>
    <row r="678" s="4" customFormat="1" ht="15.75">
      <c r="A678" s="13"/>
    </row>
    <row r="679" s="4" customFormat="1" ht="15.75">
      <c r="A679" s="13"/>
    </row>
    <row r="680" s="4" customFormat="1" ht="15.75">
      <c r="A680" s="13"/>
    </row>
    <row r="681" s="4" customFormat="1" ht="15.75">
      <c r="A681" s="13"/>
    </row>
    <row r="682" s="4" customFormat="1" ht="15.75">
      <c r="A682" s="13"/>
    </row>
    <row r="683" s="4" customFormat="1" ht="15.75">
      <c r="A683" s="13"/>
    </row>
    <row r="684" s="4" customFormat="1" ht="15.75">
      <c r="A684" s="13"/>
    </row>
    <row r="685" s="4" customFormat="1" ht="15.75">
      <c r="A685" s="13"/>
    </row>
    <row r="686" s="4" customFormat="1" ht="15.75">
      <c r="A686" s="13"/>
    </row>
    <row r="687" s="4" customFormat="1" ht="15.75">
      <c r="A687" s="13"/>
    </row>
    <row r="688" s="4" customFormat="1" ht="15.75">
      <c r="A688" s="13"/>
    </row>
    <row r="689" s="4" customFormat="1" ht="15.75">
      <c r="A689" s="13"/>
    </row>
    <row r="690" s="4" customFormat="1" ht="15.75">
      <c r="A690" s="13"/>
    </row>
    <row r="691" s="4" customFormat="1" ht="15.75">
      <c r="A691" s="13"/>
    </row>
    <row r="692" s="4" customFormat="1" ht="15.75">
      <c r="A692" s="13"/>
    </row>
    <row r="693" s="4" customFormat="1" ht="15.75">
      <c r="A693" s="13"/>
    </row>
    <row r="694" s="4" customFormat="1" ht="15.75">
      <c r="A694" s="13"/>
    </row>
    <row r="695" s="4" customFormat="1" ht="15.75">
      <c r="A695" s="13"/>
    </row>
    <row r="696" s="4" customFormat="1" ht="15.75">
      <c r="A696" s="13"/>
    </row>
    <row r="697" s="4" customFormat="1" ht="15.75">
      <c r="A697" s="13"/>
    </row>
    <row r="698" s="4" customFormat="1" ht="15.75">
      <c r="A698" s="13"/>
    </row>
    <row r="699" s="4" customFormat="1" ht="15.75">
      <c r="A699" s="13"/>
    </row>
    <row r="700" s="4" customFormat="1" ht="15.75">
      <c r="A700" s="13"/>
    </row>
    <row r="701" s="4" customFormat="1" ht="15.75">
      <c r="A701" s="13"/>
    </row>
    <row r="702" s="4" customFormat="1" ht="15.75">
      <c r="A702" s="13"/>
    </row>
    <row r="703" s="4" customFormat="1" ht="15.75">
      <c r="A703" s="13"/>
    </row>
    <row r="704" s="4" customFormat="1" ht="15.75">
      <c r="A704" s="13"/>
    </row>
    <row r="705" s="4" customFormat="1" ht="15.75">
      <c r="A705" s="13"/>
    </row>
    <row r="706" s="4" customFormat="1" ht="15.75">
      <c r="A706" s="13"/>
    </row>
    <row r="707" s="4" customFormat="1" ht="15.75">
      <c r="A707" s="13"/>
    </row>
    <row r="708" s="4" customFormat="1" ht="15.75">
      <c r="A708" s="13"/>
    </row>
    <row r="709" s="4" customFormat="1" ht="15.75">
      <c r="A709" s="13"/>
    </row>
    <row r="710" s="4" customFormat="1" ht="15.75">
      <c r="A710" s="13"/>
    </row>
    <row r="711" s="4" customFormat="1" ht="15.75">
      <c r="A711" s="13"/>
    </row>
    <row r="712" s="4" customFormat="1" ht="15.75">
      <c r="A712" s="13"/>
    </row>
    <row r="713" s="4" customFormat="1" ht="15.75">
      <c r="A713" s="13"/>
    </row>
    <row r="714" s="4" customFormat="1" ht="15.75">
      <c r="A714" s="13"/>
    </row>
    <row r="715" s="4" customFormat="1" ht="15.75">
      <c r="A715" s="13"/>
    </row>
    <row r="716" s="4" customFormat="1" ht="15.75">
      <c r="A716" s="13"/>
    </row>
    <row r="717" s="4" customFormat="1" ht="15.75">
      <c r="A717" s="13"/>
    </row>
    <row r="718" s="4" customFormat="1" ht="15.75">
      <c r="A718" s="13"/>
    </row>
    <row r="719" s="4" customFormat="1" ht="15.75">
      <c r="A719" s="13"/>
    </row>
    <row r="720" s="4" customFormat="1" ht="15.75">
      <c r="A720" s="13"/>
    </row>
    <row r="721" s="4" customFormat="1" ht="15.75">
      <c r="A721" s="13"/>
    </row>
    <row r="722" s="4" customFormat="1" ht="15.75">
      <c r="A722" s="13"/>
    </row>
    <row r="723" s="4" customFormat="1" ht="15.75">
      <c r="A723" s="13"/>
    </row>
    <row r="724" s="4" customFormat="1" ht="15.75">
      <c r="A724" s="13"/>
    </row>
    <row r="725" s="4" customFormat="1" ht="15.75">
      <c r="A725" s="13"/>
    </row>
    <row r="726" s="4" customFormat="1" ht="15.75">
      <c r="A726" s="13"/>
    </row>
    <row r="727" s="4" customFormat="1" ht="15.75">
      <c r="A727" s="13"/>
    </row>
    <row r="728" s="4" customFormat="1" ht="15.75">
      <c r="A728" s="13"/>
    </row>
    <row r="729" s="4" customFormat="1" ht="15.75">
      <c r="A729" s="13"/>
    </row>
    <row r="730" s="4" customFormat="1" ht="15.75">
      <c r="A730" s="13"/>
    </row>
    <row r="731" s="4" customFormat="1" ht="15.75">
      <c r="A731" s="13"/>
    </row>
    <row r="732" s="4" customFormat="1" ht="15.75">
      <c r="A732" s="13"/>
    </row>
    <row r="733" s="4" customFormat="1" ht="15.75">
      <c r="A733" s="13"/>
    </row>
    <row r="734" s="4" customFormat="1" ht="15.75">
      <c r="A734" s="13"/>
    </row>
    <row r="735" s="4" customFormat="1" ht="15.75">
      <c r="A735" s="13"/>
    </row>
    <row r="736" s="4" customFormat="1" ht="15.75">
      <c r="A736" s="13"/>
    </row>
    <row r="737" s="4" customFormat="1" ht="15.75">
      <c r="A737" s="13"/>
    </row>
    <row r="738" s="4" customFormat="1" ht="15.75">
      <c r="A738" s="13"/>
    </row>
    <row r="739" s="4" customFormat="1" ht="15.75">
      <c r="A739" s="13"/>
    </row>
    <row r="740" s="4" customFormat="1" ht="15.75">
      <c r="A740" s="13"/>
    </row>
    <row r="741" s="4" customFormat="1" ht="15.75">
      <c r="A741" s="13"/>
    </row>
    <row r="742" s="4" customFormat="1" ht="15.75">
      <c r="A742" s="13"/>
    </row>
    <row r="743" s="4" customFormat="1" ht="15.75">
      <c r="A743" s="13"/>
    </row>
    <row r="744" s="4" customFormat="1" ht="15.75">
      <c r="A744" s="13"/>
    </row>
    <row r="745" s="4" customFormat="1" ht="15.75">
      <c r="A745" s="13"/>
    </row>
    <row r="746" s="4" customFormat="1" ht="15.75">
      <c r="A746" s="13"/>
    </row>
    <row r="747" s="4" customFormat="1" ht="15.75">
      <c r="A747" s="13"/>
    </row>
    <row r="748" s="4" customFormat="1" ht="15.75">
      <c r="A748" s="13"/>
    </row>
    <row r="749" s="4" customFormat="1" ht="15.75">
      <c r="A749" s="13"/>
    </row>
    <row r="750" s="4" customFormat="1" ht="15.75">
      <c r="A750" s="13"/>
    </row>
    <row r="751" s="4" customFormat="1" ht="15.75">
      <c r="A751" s="13"/>
    </row>
    <row r="752" s="4" customFormat="1" ht="15.75">
      <c r="A752" s="13"/>
    </row>
    <row r="753" s="4" customFormat="1" ht="15.75">
      <c r="A753" s="13"/>
    </row>
    <row r="754" s="4" customFormat="1" ht="15.75">
      <c r="A754" s="13"/>
    </row>
    <row r="755" s="4" customFormat="1" ht="15.75">
      <c r="A755" s="13"/>
    </row>
    <row r="756" s="4" customFormat="1" ht="15.75">
      <c r="A756" s="13"/>
    </row>
    <row r="757" s="4" customFormat="1" ht="15.75">
      <c r="A757" s="13"/>
    </row>
    <row r="758" s="4" customFormat="1" ht="15.75">
      <c r="A758" s="13"/>
    </row>
    <row r="759" s="4" customFormat="1" ht="15.75">
      <c r="A759" s="13"/>
    </row>
    <row r="760" s="4" customFormat="1" ht="15.75">
      <c r="A760" s="13"/>
    </row>
    <row r="761" s="4" customFormat="1" ht="15.75">
      <c r="A761" s="13"/>
    </row>
    <row r="762" s="4" customFormat="1" ht="15.75">
      <c r="A762" s="13"/>
    </row>
    <row r="763" s="4" customFormat="1" ht="15.75">
      <c r="A763" s="13"/>
    </row>
    <row r="764" s="4" customFormat="1" ht="15.75">
      <c r="A764" s="13"/>
    </row>
    <row r="765" s="4" customFormat="1" ht="15.75">
      <c r="A765" s="13"/>
    </row>
    <row r="766" s="4" customFormat="1" ht="15.75">
      <c r="A766" s="13"/>
    </row>
    <row r="767" s="4" customFormat="1" ht="15.75">
      <c r="A767" s="13"/>
    </row>
    <row r="768" s="4" customFormat="1" ht="15.75">
      <c r="A768" s="13"/>
    </row>
    <row r="769" s="4" customFormat="1" ht="15.75">
      <c r="A769" s="13"/>
    </row>
    <row r="770" s="4" customFormat="1" ht="15.75">
      <c r="A770" s="13"/>
    </row>
    <row r="771" s="4" customFormat="1" ht="15.75">
      <c r="A771" s="13"/>
    </row>
    <row r="772" s="4" customFormat="1" ht="15.75">
      <c r="A772" s="13"/>
    </row>
    <row r="773" s="4" customFormat="1" ht="15.75">
      <c r="A773" s="13"/>
    </row>
    <row r="774" s="4" customFormat="1" ht="15.75">
      <c r="A774" s="13"/>
    </row>
    <row r="775" s="4" customFormat="1" ht="15.75">
      <c r="A775" s="13"/>
    </row>
    <row r="776" s="4" customFormat="1" ht="15.75">
      <c r="A776" s="13"/>
    </row>
    <row r="777" s="4" customFormat="1" ht="15.75">
      <c r="A777" s="13"/>
    </row>
    <row r="778" s="4" customFormat="1" ht="15.75">
      <c r="A778" s="13"/>
    </row>
    <row r="779" s="4" customFormat="1" ht="15.75">
      <c r="A779" s="13"/>
    </row>
    <row r="780" s="4" customFormat="1" ht="15.75">
      <c r="A780" s="13"/>
    </row>
    <row r="781" s="4" customFormat="1" ht="15.75">
      <c r="A781" s="13"/>
    </row>
    <row r="782" s="4" customFormat="1" ht="15.75">
      <c r="A782" s="13"/>
    </row>
    <row r="783" s="4" customFormat="1" ht="15.75">
      <c r="A783" s="13"/>
    </row>
    <row r="784" s="4" customFormat="1" ht="15.75">
      <c r="A784" s="13"/>
    </row>
    <row r="785" s="4" customFormat="1" ht="15.75">
      <c r="A785" s="13"/>
    </row>
    <row r="786" s="4" customFormat="1" ht="15.75">
      <c r="A786" s="13"/>
    </row>
    <row r="787" s="4" customFormat="1" ht="15.75">
      <c r="A787" s="13"/>
    </row>
    <row r="788" s="4" customFormat="1" ht="15.75">
      <c r="A788" s="13"/>
    </row>
    <row r="789" s="4" customFormat="1" ht="15.75">
      <c r="A789" s="13"/>
    </row>
    <row r="790" s="4" customFormat="1" ht="15.75">
      <c r="A790" s="13"/>
    </row>
    <row r="791" s="4" customFormat="1" ht="15.75">
      <c r="A791" s="13"/>
    </row>
    <row r="792" s="4" customFormat="1" ht="15.75">
      <c r="A792" s="13"/>
    </row>
    <row r="793" s="4" customFormat="1" ht="15.75">
      <c r="A793" s="13"/>
    </row>
    <row r="794" s="4" customFormat="1" ht="15.75">
      <c r="A794" s="13"/>
    </row>
    <row r="795" s="4" customFormat="1" ht="15.75">
      <c r="A795" s="13"/>
    </row>
    <row r="796" s="4" customFormat="1" ht="15.75">
      <c r="A796" s="13"/>
    </row>
    <row r="797" s="4" customFormat="1" ht="15.75">
      <c r="A797" s="13"/>
    </row>
    <row r="798" s="4" customFormat="1" ht="15.75">
      <c r="A798" s="13"/>
    </row>
    <row r="799" s="4" customFormat="1" ht="15.75">
      <c r="A799" s="13"/>
    </row>
    <row r="800" s="4" customFormat="1" ht="15.75">
      <c r="A800" s="13"/>
    </row>
    <row r="801" s="4" customFormat="1" ht="15.75">
      <c r="A801" s="13"/>
    </row>
    <row r="802" s="4" customFormat="1" ht="15.75">
      <c r="A802" s="13"/>
    </row>
    <row r="803" s="4" customFormat="1" ht="15.75">
      <c r="A803" s="13"/>
    </row>
    <row r="804" s="4" customFormat="1" ht="15.75">
      <c r="A804" s="13"/>
    </row>
    <row r="805" s="4" customFormat="1" ht="15.75">
      <c r="A805" s="13"/>
    </row>
    <row r="806" s="4" customFormat="1" ht="15.75">
      <c r="A806" s="13"/>
    </row>
    <row r="807" s="4" customFormat="1" ht="15.75">
      <c r="A807" s="13"/>
    </row>
    <row r="808" s="4" customFormat="1" ht="15.75">
      <c r="A808" s="13"/>
    </row>
    <row r="809" s="4" customFormat="1" ht="15.75">
      <c r="A809" s="13"/>
    </row>
    <row r="810" s="4" customFormat="1" ht="15.75">
      <c r="A810" s="13"/>
    </row>
    <row r="811" s="4" customFormat="1" ht="15.75">
      <c r="A811" s="13"/>
    </row>
    <row r="812" s="4" customFormat="1" ht="15.75">
      <c r="A812" s="13"/>
    </row>
    <row r="813" s="4" customFormat="1" ht="15.75">
      <c r="A813" s="13"/>
    </row>
    <row r="814" s="4" customFormat="1" ht="15.75">
      <c r="A814" s="13"/>
    </row>
    <row r="815" s="4" customFormat="1" ht="15.75">
      <c r="A815" s="13"/>
    </row>
    <row r="816" s="4" customFormat="1" ht="15.75">
      <c r="A816" s="13"/>
    </row>
    <row r="817" s="4" customFormat="1" ht="15.75">
      <c r="A817" s="13"/>
    </row>
    <row r="818" s="4" customFormat="1" ht="15.75">
      <c r="A818" s="13"/>
    </row>
    <row r="819" s="4" customFormat="1" ht="15.75">
      <c r="A819" s="13"/>
    </row>
    <row r="820" s="4" customFormat="1" ht="15.75">
      <c r="A820" s="13"/>
    </row>
    <row r="821" s="4" customFormat="1" ht="15.75">
      <c r="A821" s="13"/>
    </row>
    <row r="822" s="4" customFormat="1" ht="15.75">
      <c r="A822" s="13"/>
    </row>
    <row r="823" s="4" customFormat="1" ht="15.75">
      <c r="A823" s="13"/>
    </row>
    <row r="824" s="4" customFormat="1" ht="15.75">
      <c r="A824" s="13"/>
    </row>
    <row r="825" s="4" customFormat="1" ht="15.75">
      <c r="A825" s="13"/>
    </row>
    <row r="826" s="4" customFormat="1" ht="15.75">
      <c r="A826" s="13"/>
    </row>
    <row r="827" s="4" customFormat="1" ht="15.75">
      <c r="A827" s="13"/>
    </row>
    <row r="828" s="4" customFormat="1" ht="15.75">
      <c r="A828" s="13"/>
    </row>
    <row r="829" s="4" customFormat="1" ht="15.75">
      <c r="A829" s="13"/>
    </row>
    <row r="830" s="4" customFormat="1" ht="15.75">
      <c r="A830" s="13"/>
    </row>
    <row r="831" s="4" customFormat="1" ht="15.75">
      <c r="A831" s="13"/>
    </row>
    <row r="832" s="4" customFormat="1" ht="15.75">
      <c r="A832" s="13"/>
    </row>
    <row r="833" s="4" customFormat="1" ht="15.75">
      <c r="A833" s="13"/>
    </row>
    <row r="834" s="4" customFormat="1" ht="15.75">
      <c r="A834" s="13"/>
    </row>
    <row r="835" s="4" customFormat="1" ht="15.75">
      <c r="A835" s="13"/>
    </row>
    <row r="836" s="4" customFormat="1" ht="15.75">
      <c r="A836" s="13"/>
    </row>
    <row r="837" s="4" customFormat="1" ht="15.75">
      <c r="A837" s="13"/>
    </row>
    <row r="838" s="4" customFormat="1" ht="15.75">
      <c r="A838" s="13"/>
    </row>
    <row r="839" s="4" customFormat="1" ht="15.75">
      <c r="A839" s="13"/>
    </row>
    <row r="840" s="4" customFormat="1" ht="15.75">
      <c r="A840" s="13"/>
    </row>
    <row r="841" s="4" customFormat="1" ht="15.75">
      <c r="A841" s="13"/>
    </row>
    <row r="842" s="4" customFormat="1" ht="15.75">
      <c r="A842" s="13"/>
    </row>
    <row r="843" s="4" customFormat="1" ht="15.75">
      <c r="A843" s="13"/>
    </row>
    <row r="844" s="4" customFormat="1" ht="15.75">
      <c r="A844" s="13"/>
    </row>
    <row r="845" s="4" customFormat="1" ht="15.75">
      <c r="A845" s="13"/>
    </row>
    <row r="846" s="4" customFormat="1" ht="15.75">
      <c r="A846" s="13"/>
    </row>
    <row r="847" s="4" customFormat="1" ht="15.75">
      <c r="A847" s="13"/>
    </row>
    <row r="848" s="4" customFormat="1" ht="15.75">
      <c r="A848" s="13"/>
    </row>
    <row r="849" s="4" customFormat="1" ht="15.75">
      <c r="A849" s="13"/>
    </row>
    <row r="850" s="4" customFormat="1" ht="15.75">
      <c r="A850" s="13"/>
    </row>
    <row r="851" s="4" customFormat="1" ht="15.75">
      <c r="A851" s="13"/>
    </row>
    <row r="852" s="4" customFormat="1" ht="15.75">
      <c r="A852" s="13"/>
    </row>
    <row r="853" s="4" customFormat="1" ht="15.75">
      <c r="A853" s="13"/>
    </row>
    <row r="854" s="4" customFormat="1" ht="15.75">
      <c r="A854" s="13"/>
    </row>
    <row r="855" s="4" customFormat="1" ht="15.75">
      <c r="A855" s="13"/>
    </row>
    <row r="856" s="4" customFormat="1" ht="15.75">
      <c r="A856" s="13"/>
    </row>
    <row r="857" s="4" customFormat="1" ht="15.75">
      <c r="A857" s="13"/>
    </row>
    <row r="858" s="4" customFormat="1" ht="15.75">
      <c r="A858" s="13"/>
    </row>
    <row r="859" s="4" customFormat="1" ht="15.75">
      <c r="A859" s="13"/>
    </row>
    <row r="860" s="4" customFormat="1" ht="15.75">
      <c r="A860" s="13"/>
    </row>
    <row r="861" s="4" customFormat="1" ht="15.75">
      <c r="A861" s="13"/>
    </row>
    <row r="862" s="4" customFormat="1" ht="15.75">
      <c r="A862" s="13"/>
    </row>
    <row r="863" s="4" customFormat="1" ht="15.75">
      <c r="A863" s="13"/>
    </row>
    <row r="864" s="4" customFormat="1" ht="15.75">
      <c r="A864" s="13"/>
    </row>
    <row r="865" s="4" customFormat="1" ht="15.75">
      <c r="A865" s="13"/>
    </row>
    <row r="866" s="4" customFormat="1" ht="15.75">
      <c r="A866" s="13"/>
    </row>
    <row r="867" s="4" customFormat="1" ht="15.75">
      <c r="A867" s="13"/>
    </row>
    <row r="868" s="4" customFormat="1" ht="15.75">
      <c r="A868" s="13"/>
    </row>
    <row r="869" s="4" customFormat="1" ht="15.75">
      <c r="A869" s="13"/>
    </row>
    <row r="870" s="4" customFormat="1" ht="15.75">
      <c r="A870" s="13"/>
    </row>
    <row r="871" s="4" customFormat="1" ht="15.75">
      <c r="A871" s="13"/>
    </row>
    <row r="872" s="4" customFormat="1" ht="15.75">
      <c r="A872" s="13"/>
    </row>
    <row r="873" s="4" customFormat="1" ht="15.75">
      <c r="A873" s="13"/>
    </row>
    <row r="874" s="4" customFormat="1" ht="15.75">
      <c r="A874" s="13"/>
    </row>
    <row r="875" s="4" customFormat="1" ht="15.75">
      <c r="A875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P.K.Pradhan</cp:lastModifiedBy>
  <cp:lastPrinted>2004-07-06T08:27:03Z</cp:lastPrinted>
  <dcterms:created xsi:type="dcterms:W3CDTF">1998-07-24T04:26:25Z</dcterms:created>
  <dcterms:modified xsi:type="dcterms:W3CDTF">2004-07-14T11:35:27Z</dcterms:modified>
  <cp:category/>
  <cp:version/>
  <cp:contentType/>
  <cp:contentStatus/>
</cp:coreProperties>
</file>